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19DE8D22-DB77-4070-A7D6-C9F400280FB5}" xr6:coauthVersionLast="47" xr6:coauthVersionMax="47" xr10:uidLastSave="{00000000-0000-0000-0000-000000000000}"/>
  <bookViews>
    <workbookView xWindow="-28920" yWindow="-120" windowWidth="29040" windowHeight="15840" tabRatio="433"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102" i="8" l="1"/>
  <c r="N103" i="8"/>
  <c r="N104" i="8"/>
  <c r="N105" i="8"/>
  <c r="N106" i="8"/>
  <c r="N107" i="8"/>
  <c r="N108" i="8"/>
  <c r="N109" i="8"/>
  <c r="N110" i="8"/>
  <c r="N111" i="8"/>
  <c r="N112" i="8"/>
  <c r="O112" i="8" l="1"/>
  <c r="K110" i="8"/>
  <c r="I112" i="8" l="1"/>
  <c r="J112" i="8"/>
  <c r="K112" i="8"/>
  <c r="R112" i="8"/>
  <c r="P112" i="8"/>
  <c r="Q112" i="8"/>
  <c r="Q111" i="8"/>
  <c r="C112" i="8" l="1"/>
  <c r="D112" i="8"/>
  <c r="K111" i="8"/>
  <c r="J111" i="8"/>
  <c r="I111" i="8"/>
  <c r="C113" i="10" l="1"/>
  <c r="O111" i="8"/>
  <c r="R111" i="8" s="1"/>
  <c r="C111" i="8" l="1"/>
  <c r="P111" i="8"/>
  <c r="D111" i="8" l="1"/>
  <c r="C112" i="10" s="1"/>
  <c r="D113" i="10" s="1"/>
  <c r="I110" i="8"/>
  <c r="J110" i="8"/>
  <c r="P110" i="8" l="1"/>
  <c r="O110" i="8" l="1"/>
  <c r="R110" i="8" l="1"/>
  <c r="Q110" i="8"/>
  <c r="F117" i="8"/>
  <c r="D110" i="8" l="1"/>
  <c r="C110" i="8"/>
  <c r="C111" i="10"/>
  <c r="D112" i="10" s="1"/>
  <c r="O109" i="8"/>
  <c r="R109" i="8" s="1"/>
  <c r="I109" i="8"/>
  <c r="J109" i="8"/>
  <c r="K109" i="8"/>
  <c r="Q109" i="8"/>
  <c r="P109" i="8"/>
  <c r="C109" i="8" l="1"/>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8" i="10" s="1"/>
  <c r="C106" i="8"/>
  <c r="D109" i="10" l="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s="1"/>
  <c r="C84" i="8" l="1"/>
  <c r="D84" i="8"/>
  <c r="D38" i="3"/>
  <c r="C36" i="3"/>
  <c r="C35" i="3" s="1"/>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8" i="3" l="1"/>
  <c r="E35" i="3"/>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B6" i="3"/>
  <c r="B5"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44"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<sst xmlns="http://schemas.openxmlformats.org/spreadsheetml/2006/main" count="150" uniqueCount="63">
  <si>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</si>
  <si>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</si>
  <si>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</si>
  <si>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</si>
  <si>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</si>
  <si>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</si>
  <si>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</si>
  <si>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</si>
  <si>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</si>
  <si>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</si>
  <si>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</si>
  <si>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</si>
  <si>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</si>
  <si>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</si>
  <si>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</si>
  <si>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</si>
  <si>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</si>
  <si>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</si>
  <si>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</si>
  <si>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</si>
  <si>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</si>
  <si>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</si>
  <si>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</si>
  <si>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</si>
  <si>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</si>
  <si>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</si>
  <si>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</si>
  <si>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</si>
  <si>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</si>
  <si>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</si>
  <si>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</si>
  <si>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</si>
  <si>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</si>
  <si>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</si>
  <si>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</si>
  <si>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</si>
  <si>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</si>
  <si>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</si>
  <si>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</si>
  <si>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</si>
  <si>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</si>
  <si>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</si>
  <si>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</si>
  <si>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</si>
  <si>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</si>
  <si>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</si>
  <si>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</si>
  <si>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</si>
  <si>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</si>
  <si>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</si>
  <si>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</si>
  <si>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</si>
  <si>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</si>
  <si>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</si>
  <si>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</si>
  <si>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</si>
  <si>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</si>
  <si>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</si>
  <si>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Notes: * Processing costs have been updated from each of the marked months, based on changes in the cost of labour, energy and general inflation. Costs will be updated quarterly while we go through the period of high inflation</t>
  </si>
  <si>
    <t>©Agriculture and Horticulture Development Board 2023. All rights reserved.</t>
  </si>
  <si>
    <t>Agriculture and Horticulture Development Board 
Middlemarch Business Park 
Siskin Parkway East
Coventry
CV3 4PE</t>
  </si>
  <si>
    <r>
      <rPr>
        <b/>
        <sz val="12"/>
        <color rgb="FF575756"/>
        <rFont val="Arial"/>
        <family val="2"/>
      </rPr>
      <t xml:space="preserve">Last updated: </t>
    </r>
    <r>
      <rPr>
        <sz val="12"/>
        <color rgb="FF575756"/>
        <rFont val="Arial"/>
        <family val="2"/>
      </rPr>
      <t>25/10/2023</t>
    </r>
  </si>
  <si>
    <r>
      <rPr>
        <b/>
        <sz val="12"/>
        <color rgb="FF575756"/>
        <rFont val="Arial"/>
        <family val="2"/>
      </rPr>
      <t xml:space="preserve">Last updated: </t>
    </r>
    <r>
      <rPr>
        <sz val="12"/>
        <color rgb="FF575756"/>
        <rFont val="Arial"/>
        <family val="2"/>
      </rPr>
      <t>24/11/2023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</si>
</sst>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7" x14ac:knownFonts="1">
    <font>
      <sz val="10"/>
      <color theme="1"/>
      <name val="Calibri"/>
      <family val="2"/>
      <scheme val="minor"/>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2" fillId="0" borderId="0" applyFont="0" applyFill="0" applyBorder="0" applyAlignment="0" applyProtection="0"/>
    <xf numFmtId="0" fontId="3" fillId="0" borderId="0" applyNumberFormat="0" applyFill="0" applyProtection="0">
      <alignment horizontal="left"/>
    </xf>
    <xf numFmtId="0" fontId="4" fillId="2" borderId="1" applyProtection="0">
      <alignment horizontal="center" vertical="center"/>
    </xf>
    <xf numFmtId="4" fontId="3" fillId="6" borderId="1" applyProtection="0">
      <alignment horizontal="center" vertical="center"/>
    </xf>
    <xf numFmtId="4" fontId="3" fillId="7" borderId="1" applyProtection="0">
      <alignment horizontal="center" vertical="center"/>
    </xf>
    <xf numFmtId="0" fontId="4" fillId="4" borderId="1" applyProtection="0">
      <alignment horizontal="center" vertical="center"/>
    </xf>
    <xf numFmtId="0" fontId="4" fillId="5" borderId="1" applyProtection="0">
      <alignment horizontal="center" vertical="center"/>
    </xf>
    <xf numFmtId="39" fontId="5" fillId="0" borderId="0" applyFill="0" applyBorder="0" applyAlignment="0" applyProtection="0"/>
    <xf numFmtId="0" fontId="6" fillId="0" borderId="0"/>
    <xf numFmtId="9" fontId="6"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4" fontId="3" fillId="0" borderId="0">
      <alignment horizontal="left" vertical="top"/>
    </xf>
    <xf numFmtId="0" fontId="20" fillId="0" borderId="0" applyNumberFormat="0" applyFill="0" applyProtection="0">
      <alignment horizontal="left"/>
    </xf>
  </cellStyleXfs>
  <cellXfs count="115">
    <xf numFmtId="4" fontId="0" fillId="0" borderId="0" xfId="0">
      <alignment horizontal="left" vertical="top"/>
    </xf>
    <xf numFmtId="0" fontId="7" fillId="8" borderId="0" xfId="9" applyFont="1" applyFill="1"/>
    <xf numFmtId="0" fontId="6" fillId="3" borderId="0" xfId="9" applyFill="1"/>
    <xf numFmtId="0" fontId="8" fillId="3" borderId="0" xfId="11" applyFill="1" applyAlignment="1" applyProtection="1"/>
    <xf numFmtId="164" fontId="10" fillId="3" borderId="0" xfId="0" applyNumberFormat="1" applyFont="1" applyFill="1" applyAlignment="1"/>
    <xf numFmtId="4" fontId="11" fillId="3" borderId="0" xfId="0" applyFont="1" applyFill="1" applyAlignment="1">
      <alignment horizontal="left"/>
    </xf>
    <xf numFmtId="4" fontId="11" fillId="0" borderId="0" xfId="0" applyFont="1" applyAlignment="1">
      <alignment horizontal="left"/>
    </xf>
    <xf numFmtId="4" fontId="12" fillId="3" borderId="0" xfId="0" applyFont="1" applyFill="1" applyAlignment="1">
      <alignment vertical="center"/>
    </xf>
    <xf numFmtId="4" fontId="14" fillId="3" borderId="0" xfId="0" applyFont="1" applyFill="1" applyAlignment="1">
      <alignment horizontal="left" vertical="center"/>
    </xf>
    <xf numFmtId="4" fontId="10" fillId="3" borderId="0" xfId="0" applyFont="1" applyFill="1" applyAlignment="1">
      <alignment vertical="top" wrapText="1"/>
    </xf>
    <xf numFmtId="4" fontId="14" fillId="0" borderId="0" xfId="0" applyFont="1" applyAlignment="1">
      <alignment horizontal="left" vertical="center"/>
    </xf>
    <xf numFmtId="4" fontId="10" fillId="3" borderId="0" xfId="0" applyFont="1" applyFill="1" applyAlignment="1">
      <alignment horizontal="left" vertical="center"/>
    </xf>
    <xf numFmtId="14" fontId="10" fillId="3" borderId="0" xfId="2" applyNumberFormat="1" applyFont="1" applyFill="1">
      <alignment horizontal="left"/>
    </xf>
    <xf numFmtId="14" fontId="10" fillId="0" borderId="0" xfId="2" applyNumberFormat="1" applyFont="1">
      <alignment horizontal="left"/>
    </xf>
    <xf numFmtId="14" fontId="10" fillId="3" borderId="0" xfId="0" applyNumberFormat="1" applyFont="1" applyFill="1" applyAlignment="1">
      <alignment horizontal="left"/>
    </xf>
    <xf numFmtId="14" fontId="10" fillId="0" borderId="0" xfId="0" applyNumberFormat="1" applyFont="1" applyAlignment="1">
      <alignment horizontal="left"/>
    </xf>
    <xf numFmtId="4" fontId="10" fillId="3" borderId="0" xfId="0" applyFont="1" applyFill="1">
      <alignment horizontal="left" vertical="top"/>
    </xf>
    <xf numFmtId="4" fontId="10" fillId="0" borderId="0" xfId="0" applyFont="1">
      <alignment horizontal="left" vertical="top"/>
    </xf>
    <xf numFmtId="0" fontId="16" fillId="2" borderId="0" xfId="3" applyFont="1" applyBorder="1">
      <alignment horizontal="center" vertical="center"/>
    </xf>
    <xf numFmtId="0" fontId="16" fillId="4" borderId="3" xfId="6" applyFont="1" applyBorder="1">
      <alignment horizontal="center" vertical="center"/>
    </xf>
    <xf numFmtId="0" fontId="16" fillId="4" borderId="3" xfId="6" applyFont="1" applyBorder="1" applyAlignment="1">
      <alignment horizontal="center" vertical="center" wrapText="1"/>
    </xf>
    <xf numFmtId="0" fontId="16" fillId="5" borderId="1" xfId="7" applyFont="1">
      <alignment horizontal="center" vertical="center"/>
    </xf>
    <xf numFmtId="4" fontId="10" fillId="3" borderId="0" xfId="0" applyFont="1" applyFill="1" applyAlignment="1">
      <alignment horizontal="center" vertical="center"/>
    </xf>
    <xf numFmtId="4" fontId="10" fillId="0" borderId="0" xfId="0" applyFont="1" applyAlignment="1">
      <alignment horizontal="center" vertical="center"/>
    </xf>
    <xf numFmtId="4" fontId="17" fillId="3" borderId="0" xfId="0" applyFont="1" applyFill="1">
      <alignment horizontal="left" vertical="top"/>
    </xf>
    <xf numFmtId="4" fontId="17" fillId="0" borderId="0" xfId="0" applyFont="1">
      <alignment horizontal="left" vertical="top"/>
    </xf>
    <xf numFmtId="4" fontId="18" fillId="3" borderId="0" xfId="0" applyFont="1" applyFill="1" applyAlignment="1">
      <alignment horizontal="left"/>
    </xf>
    <xf numFmtId="4" fontId="10" fillId="3" borderId="0" xfId="13" applyFont="1" applyFill="1">
      <alignment horizontal="left" vertical="top"/>
    </xf>
    <xf numFmtId="0" fontId="19" fillId="3" borderId="10" xfId="12" applyFont="1" applyFill="1" applyBorder="1" applyAlignment="1">
      <alignment vertical="center"/>
    </xf>
    <xf numFmtId="4" fontId="10" fillId="3" borderId="0" xfId="13" applyFont="1" applyFill="1" applyAlignment="1">
      <alignment horizontal="left"/>
    </xf>
    <xf numFmtId="4" fontId="21" fillId="0" borderId="0" xfId="13" applyFont="1">
      <alignment horizontal="left" vertical="top"/>
    </xf>
    <xf numFmtId="0" fontId="13" fillId="0" borderId="0" xfId="14" applyFont="1">
      <alignment horizontal="left"/>
    </xf>
    <xf numFmtId="4" fontId="22" fillId="0" borderId="0" xfId="13" applyFont="1" applyAlignment="1">
      <alignment vertical="center"/>
    </xf>
    <xf numFmtId="0" fontId="16" fillId="4" borderId="1" xfId="6" applyFont="1">
      <alignment horizontal="center" vertical="center"/>
    </xf>
    <xf numFmtId="166" fontId="10" fillId="6" borderId="1" xfId="4" applyNumberFormat="1" applyFont="1" applyAlignment="1">
      <alignment horizontal="right" vertical="center"/>
    </xf>
    <xf numFmtId="4" fontId="10" fillId="3" borderId="0" xfId="0" applyFont="1" applyFill="1" applyAlignment="1">
      <alignment horizontal="right" vertical="top"/>
    </xf>
    <xf numFmtId="3" fontId="10" fillId="6" borderId="1" xfId="4" applyNumberFormat="1" applyFont="1" applyAlignment="1">
      <alignment horizontal="right" vertical="center"/>
    </xf>
    <xf numFmtId="166" fontId="10" fillId="7" borderId="1" xfId="5" applyNumberFormat="1" applyFont="1" applyAlignment="1">
      <alignment horizontal="right" vertical="center"/>
    </xf>
    <xf numFmtId="3" fontId="10" fillId="7" borderId="1" xfId="5" applyNumberFormat="1" applyFont="1" applyAlignment="1">
      <alignment horizontal="right" vertical="center"/>
    </xf>
    <xf numFmtId="4" fontId="10" fillId="3" borderId="0" xfId="0" applyFont="1" applyFill="1" applyAlignment="1">
      <alignment horizontal="right" vertical="center"/>
    </xf>
    <xf numFmtId="4" fontId="12" fillId="0" borderId="0" xfId="13" applyFont="1" applyAlignment="1">
      <alignment horizontal="left" vertical="top" wrapText="1"/>
    </xf>
    <xf numFmtId="17" fontId="10" fillId="6" borderId="5" xfId="4" applyNumberFormat="1" applyFont="1" applyBorder="1" applyAlignment="1">
      <alignment horizontal="left" vertical="center"/>
    </xf>
    <xf numFmtId="17" fontId="10" fillId="7" borderId="5" xfId="5" applyNumberFormat="1" applyFont="1" applyBorder="1" applyAlignment="1">
      <alignment horizontal="left" vertical="center"/>
    </xf>
    <xf numFmtId="0" fontId="6" fillId="0" borderId="0" xfId="9"/>
    <xf numFmtId="0" fontId="16" fillId="2" borderId="4" xfId="3" applyFont="1" applyBorder="1" applyAlignment="1" applyProtection="1">
      <alignment horizontal="right"/>
      <protection locked="0"/>
    </xf>
    <xf numFmtId="0" fontId="16" fillId="2" borderId="5" xfId="3" applyFont="1" applyBorder="1" applyAlignment="1" applyProtection="1">
      <alignment horizontal="center"/>
      <protection locked="0"/>
    </xf>
    <xf numFmtId="0" fontId="17" fillId="4" borderId="3" xfId="6" applyFont="1" applyBorder="1">
      <alignment horizontal="center" vertical="center"/>
    </xf>
    <xf numFmtId="165" fontId="17" fillId="4" borderId="3" xfId="6" applyNumberFormat="1" applyFont="1" applyBorder="1">
      <alignment horizontal="center" vertical="center"/>
    </xf>
    <xf numFmtId="165" fontId="10" fillId="9" borderId="7" xfId="0" applyNumberFormat="1" applyFont="1" applyFill="1" applyBorder="1" applyAlignment="1">
      <alignment horizontal="left" vertical="center"/>
    </xf>
    <xf numFmtId="4" fontId="10" fillId="9" borderId="1" xfId="0" applyFont="1" applyFill="1" applyBorder="1" applyAlignment="1">
      <alignment horizontal="right" vertical="center"/>
    </xf>
    <xf numFmtId="4" fontId="15" fillId="9" borderId="1" xfId="0" applyFont="1" applyFill="1" applyBorder="1" applyAlignment="1">
      <alignment horizontal="right" vertical="center"/>
    </xf>
    <xf numFmtId="165" fontId="10" fillId="10" borderId="1" xfId="0" applyNumberFormat="1" applyFont="1" applyFill="1" applyBorder="1">
      <alignment horizontal="left" vertical="top"/>
    </xf>
    <xf numFmtId="4" fontId="10" fillId="10" borderId="1" xfId="0" applyFont="1" applyFill="1" applyBorder="1" applyAlignment="1">
      <alignment horizontal="right" vertical="top"/>
    </xf>
    <xf numFmtId="4" fontId="15" fillId="10" borderId="1" xfId="0" applyFont="1" applyFill="1" applyBorder="1" applyAlignment="1">
      <alignment horizontal="right" vertical="top"/>
    </xf>
    <xf numFmtId="165" fontId="10" fillId="9" borderId="1" xfId="0" applyNumberFormat="1" applyFont="1" applyFill="1" applyBorder="1" applyAlignment="1">
      <alignment horizontal="left" vertical="center"/>
    </xf>
    <xf numFmtId="9" fontId="10" fillId="9" borderId="1" xfId="1" applyFont="1" applyFill="1" applyBorder="1" applyAlignment="1">
      <alignment horizontal="right" vertical="center"/>
    </xf>
    <xf numFmtId="165" fontId="10" fillId="0" borderId="0" xfId="0" applyNumberFormat="1" applyFont="1" applyAlignment="1">
      <alignment horizontal="left" vertical="center"/>
    </xf>
    <xf numFmtId="4" fontId="10" fillId="0" borderId="4" xfId="0" applyFont="1" applyBorder="1" applyAlignment="1">
      <alignment horizontal="right" vertical="center"/>
    </xf>
    <xf numFmtId="4" fontId="15" fillId="0" borderId="4" xfId="0" applyFont="1" applyBorder="1" applyAlignment="1">
      <alignment horizontal="right" vertical="center"/>
    </xf>
    <xf numFmtId="9" fontId="10" fillId="0" borderId="5" xfId="1" applyFont="1" applyFill="1" applyBorder="1" applyAlignment="1">
      <alignment horizontal="right" vertical="center"/>
    </xf>
    <xf numFmtId="0" fontId="16" fillId="2" borderId="4" xfId="3" applyFont="1" applyBorder="1" applyAlignment="1" applyProtection="1">
      <alignment horizontal="center"/>
      <protection locked="0"/>
    </xf>
    <xf numFmtId="0" fontId="10" fillId="3" borderId="0" xfId="9" applyFont="1" applyFill="1"/>
    <xf numFmtId="0" fontId="21" fillId="3" borderId="0" xfId="9" applyFont="1" applyFill="1"/>
    <xf numFmtId="4" fontId="10" fillId="0" borderId="0" xfId="13" applyFont="1">
      <alignment horizontal="left" vertical="top"/>
    </xf>
    <xf numFmtId="0" fontId="19" fillId="0" borderId="0" xfId="14" applyFont="1">
      <alignment horizontal="left"/>
    </xf>
    <xf numFmtId="4" fontId="10" fillId="0" borderId="0" xfId="13" applyFont="1" applyAlignment="1">
      <alignment vertical="top" wrapText="1"/>
    </xf>
    <xf numFmtId="4" fontId="15" fillId="0" borderId="0" xfId="13" applyFont="1" applyAlignment="1">
      <alignment vertical="top"/>
    </xf>
    <xf numFmtId="4" fontId="15" fillId="0" borderId="0" xfId="13" applyFont="1">
      <alignment horizontal="left" vertical="top"/>
    </xf>
    <xf numFmtId="39" fontId="23" fillId="0" borderId="0" xfId="8" applyFont="1" applyAlignment="1">
      <alignment horizontal="left" vertical="top"/>
    </xf>
    <xf numFmtId="4" fontId="15" fillId="0" borderId="12" xfId="13" applyFont="1" applyBorder="1">
      <alignment horizontal="left" vertical="top"/>
    </xf>
    <xf numFmtId="9" fontId="10" fillId="10" borderId="1" xfId="1" applyFont="1" applyFill="1" applyBorder="1" applyAlignment="1">
      <alignment horizontal="right" vertical="top"/>
    </xf>
    <xf numFmtId="0" fontId="16" fillId="2" borderId="7" xfId="3" applyFont="1" applyBorder="1" applyAlignment="1">
      <alignment horizontal="center" vertical="center" wrapText="1"/>
    </xf>
    <xf numFmtId="0" fontId="16" fillId="2" borderId="2" xfId="3" applyFont="1" applyBorder="1" applyAlignment="1">
      <alignment horizontal="center" vertical="center" wrapText="1"/>
    </xf>
    <xf numFmtId="0" fontId="24" fillId="3" borderId="0" xfId="9" applyFont="1" applyFill="1" applyAlignment="1">
      <alignment horizontal="left"/>
    </xf>
    <xf numFmtId="4" fontId="0" fillId="3" borderId="0" xfId="0" applyFill="1">
      <alignment horizontal="left" vertical="top"/>
    </xf>
    <xf numFmtId="0" fontId="19" fillId="3" borderId="0" xfId="12" applyFont="1" applyFill="1" applyAlignment="1">
      <alignment vertical="center"/>
    </xf>
    <xf numFmtId="0" fontId="16" fillId="5" borderId="13" xfId="7" quotePrefix="1" applyFont="1" applyBorder="1">
      <alignment horizontal="center" vertical="center"/>
    </xf>
    <xf numFmtId="0" fontId="16" fillId="5" borderId="13" xfId="7" quotePrefix="1" applyFont="1" applyBorder="1" applyAlignment="1">
      <alignment horizontal="center" vertical="center" wrapText="1"/>
    </xf>
    <xf numFmtId="4" fontId="6" fillId="3" borderId="0" xfId="9" applyNumberFormat="1" applyFill="1"/>
    <xf numFmtId="4" fontId="10" fillId="9" borderId="7" xfId="0" applyFont="1" applyFill="1" applyBorder="1" applyAlignment="1">
      <alignment horizontal="right" vertical="center"/>
    </xf>
    <xf numFmtId="0" fontId="17" fillId="12" borderId="3" xfId="6" applyFont="1" applyFill="1" applyBorder="1">
      <alignment horizontal="center" vertical="center"/>
    </xf>
    <xf numFmtId="4" fontId="15" fillId="3" borderId="0" xfId="13" applyFont="1" applyFill="1">
      <alignment horizontal="left" vertical="top"/>
    </xf>
    <xf numFmtId="167" fontId="10" fillId="7" borderId="1" xfId="5" applyNumberFormat="1" applyFont="1" applyAlignment="1">
      <alignment horizontal="right" vertical="center"/>
    </xf>
    <xf numFmtId="167" fontId="10" fillId="6" borderId="1" xfId="4" applyNumberFormat="1" applyFont="1" applyAlignment="1">
      <alignment horizontal="right" vertical="center"/>
    </xf>
    <xf numFmtId="166" fontId="21" fillId="3" borderId="0" xfId="9" applyNumberFormat="1" applyFont="1" applyFill="1"/>
    <xf numFmtId="168" fontId="10" fillId="10" borderId="1" xfId="1" applyNumberFormat="1" applyFont="1" applyFill="1" applyBorder="1" applyAlignment="1">
      <alignment horizontal="right" vertical="top"/>
    </xf>
    <xf numFmtId="0" fontId="25" fillId="3" borderId="0" xfId="9" applyFont="1" applyFill="1"/>
    <xf numFmtId="4" fontId="26" fillId="3" borderId="0" xfId="0" applyFont="1" applyFill="1">
      <alignment horizontal="left" vertical="top"/>
    </xf>
    <xf numFmtId="168" fontId="10" fillId="3" borderId="0" xfId="1" applyNumberFormat="1" applyFont="1" applyFill="1" applyAlignment="1">
      <alignment horizontal="left" vertical="top"/>
    </xf>
    <xf numFmtId="4" fontId="1" fillId="3" borderId="0" xfId="0" applyFont="1" applyFill="1" applyAlignment="1">
      <alignment horizontal="right" vertical="top"/>
    </xf>
    <xf numFmtId="9" fontId="6" fillId="3" borderId="0" xfId="1" applyFont="1" applyFill="1"/>
    <xf numFmtId="166" fontId="10" fillId="3" borderId="0" xfId="0" applyNumberFormat="1" applyFont="1" applyFill="1">
      <alignment horizontal="left" vertical="top"/>
    </xf>
    <xf numFmtId="0" fontId="16" fillId="2" borderId="9" xfId="3" applyFont="1" applyBorder="1" applyAlignment="1">
      <alignment horizontal="center" vertical="center" wrapText="1"/>
    </xf>
    <xf numFmtId="0" fontId="16" fillId="2" borderId="0" xfId="3" applyFont="1" applyBorder="1" applyAlignment="1">
      <alignment horizontal="center" vertical="center" wrapText="1"/>
    </xf>
    <xf numFmtId="0" fontId="16" fillId="2" borderId="9" xfId="3" applyFont="1" applyBorder="1">
      <alignment horizontal="center" vertical="center"/>
    </xf>
    <xf numFmtId="0" fontId="16" fillId="2" borderId="0" xfId="3" applyFont="1" applyBorder="1">
      <alignment horizontal="center" vertical="center"/>
    </xf>
    <xf numFmtId="0" fontId="16" fillId="2" borderId="8" xfId="3" applyFont="1" applyBorder="1">
      <alignment horizontal="center" vertical="center"/>
    </xf>
    <xf numFmtId="0" fontId="16" fillId="2" borderId="6" xfId="3" applyFont="1" applyBorder="1">
      <alignment horizontal="center" vertical="center"/>
    </xf>
    <xf numFmtId="0" fontId="16" fillId="5" borderId="3" xfId="7" applyFont="1" applyBorder="1">
      <alignment horizontal="center" vertical="center"/>
    </xf>
    <xf numFmtId="0" fontId="16" fillId="5" borderId="5" xfId="7" applyFont="1" applyBorder="1">
      <alignment horizontal="center" vertical="center"/>
    </xf>
    <xf numFmtId="0" fontId="16" fillId="2" borderId="4" xfId="3" applyFont="1" applyBorder="1" applyAlignment="1" applyProtection="1">
      <alignment horizontal="center"/>
      <protection locked="0"/>
    </xf>
    <xf numFmtId="0" fontId="16" fillId="2" borderId="13" xfId="3" applyFont="1" applyBorder="1">
      <alignment horizontal="center" vertical="center"/>
    </xf>
    <xf numFmtId="0" fontId="16" fillId="2" borderId="7" xfId="3" applyFont="1" applyBorder="1">
      <alignment horizontal="center" vertical="center"/>
    </xf>
    <xf numFmtId="0" fontId="16" fillId="2" borderId="3" xfId="3" applyFont="1" applyBorder="1" applyAlignment="1" applyProtection="1">
      <alignment horizontal="center"/>
      <protection locked="0"/>
    </xf>
    <xf numFmtId="0" fontId="16" fillId="2" borderId="5" xfId="3" applyFont="1" applyBorder="1" applyAlignment="1" applyProtection="1">
      <alignment horizontal="center"/>
      <protection locked="0"/>
    </xf>
    <xf numFmtId="0" fontId="16" fillId="11" borderId="4" xfId="3" applyFont="1" applyFill="1" applyBorder="1" applyAlignment="1" applyProtection="1">
      <alignment horizontal="center"/>
      <protection locked="0"/>
    </xf>
    <xf numFmtId="4" fontId="10" fillId="3" borderId="0" xfId="13" applyFont="1" applyFill="1" applyAlignment="1">
      <alignment vertical="top" wrapText="1"/>
    </xf>
    <xf numFmtId="4" fontId="10" fillId="3" borderId="0" xfId="13" applyFont="1" applyFill="1" applyAlignment="1">
      <alignment horizontal="left" vertical="top" wrapText="1"/>
    </xf>
    <xf numFmtId="39" fontId="23" fillId="0" borderId="12" xfId="8" applyFont="1" applyBorder="1" applyAlignment="1">
      <alignment horizontal="left" vertical="top"/>
    </xf>
    <xf numFmtId="0" fontId="19" fillId="0" borderId="11" xfId="14" applyFont="1" applyBorder="1">
      <alignment horizontal="left"/>
    </xf>
    <xf numFmtId="4" fontId="12" fillId="0" borderId="0" xfId="13" applyFont="1" applyAlignment="1">
      <alignment horizontal="left" vertical="top" wrapText="1"/>
    </xf>
    <xf numFmtId="4" fontId="15" fillId="0" borderId="0" xfId="13" applyFont="1" applyAlignment="1">
      <alignment horizontal="left" vertical="top" wrapText="1"/>
    </xf>
    <xf numFmtId="4" fontId="1" fillId="0" borderId="0" xfId="13" applyFont="1" applyAlignment="1">
      <alignment horizontal="left" vertical="top" wrapText="1"/>
    </xf>
    <xf numFmtId="4" fontId="15" fillId="0" borderId="0" xfId="13" applyFont="1">
      <alignment horizontal="left" vertical="top"/>
    </xf>
    <xf numFmtId="39" fontId="23" fillId="0" borderId="0" xfId="8" applyFont="1" applyAlignme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'AMPE-MCVE'!$B$9:$B$117</c:f>
              <c:numCache>
                <c:formatCode>mmm\-yy</c:formatCode>
                <c:ptCount val="109"/>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numCache>
            </c:numRef>
          </c:cat>
          <c:val>
            <c:numRef>
              <c:f>'AMPE-MCVE'!$C$9:$C$117</c:f>
              <c:numCache>
                <c:formatCode>#,##0.0</c:formatCode>
                <c:ptCount val="109"/>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34.529664838724521</c:v>
                </c:pt>
                <c:pt idx="103">
                  <c:v>37.668740910040057</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'AMPE-MCVE'!$B$9:$B$117</c:f>
              <c:numCache>
                <c:formatCode>mmm\-yy</c:formatCode>
                <c:ptCount val="109"/>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numCache>
            </c:numRef>
          </c:cat>
          <c:val>
            <c:numRef>
              <c:f>'AMPE-MCVE'!$D$9:$D$117</c:f>
              <c:numCache>
                <c:formatCode>#,##0.0</c:formatCode>
                <c:ptCount val="109"/>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39.434218708121143</c:v>
                </c:pt>
                <c:pt idx="95">
                  <c:v>39.261107508702771</c:v>
                </c:pt>
                <c:pt idx="96">
                  <c:v>37.577881205180098</c:v>
                </c:pt>
                <c:pt idx="97">
                  <c:v>37.434385312088239</c:v>
                </c:pt>
                <c:pt idx="98">
                  <c:v>37.630491069707276</c:v>
                </c:pt>
                <c:pt idx="99">
                  <c:v>35.861335402975875</c:v>
                </c:pt>
                <c:pt idx="100">
                  <c:v>34.113852693198432</c:v>
                </c:pt>
                <c:pt idx="101">
                  <c:v>33.395639782883975</c:v>
                </c:pt>
                <c:pt idx="102">
                  <c:v>34.567421482417103</c:v>
                </c:pt>
                <c:pt idx="103">
                  <c:v>36.526717370629953</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5231"/>
          <c:min val="44136"/>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MMV!$B$10:$B$201</c:f>
              <c:numCache>
                <c:formatCode>mmm\-yy</c:formatCode>
                <c:ptCount val="192"/>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numCache>
            </c:numRef>
          </c:cat>
          <c:val>
            <c:numRef>
              <c:f>MMV!$C$10:$C$201</c:f>
              <c:numCache>
                <c:formatCode>0.0</c:formatCode>
                <c:ptCount val="192"/>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38.241185749721645</c:v>
                </c:pt>
                <c:pt idx="95">
                  <c:v>38.319102078260855</c:v>
                </c:pt>
                <c:pt idx="96">
                  <c:v>36.423811827365007</c:v>
                </c:pt>
                <c:pt idx="97">
                  <c:v>36.350174216894793</c:v>
                </c:pt>
                <c:pt idx="98">
                  <c:v>36.635841338215883</c:v>
                </c:pt>
                <c:pt idx="99">
                  <c:v>34.62198650105254</c:v>
                </c:pt>
                <c:pt idx="100">
                  <c:v>33.013554845980423</c:v>
                </c:pt>
                <c:pt idx="101">
                  <c:v>32.478240231278249</c:v>
                </c:pt>
                <c:pt idx="102">
                  <c:v>34.559870153678588</c:v>
                </c:pt>
                <c:pt idx="103">
                  <c:v>36.755122078511974</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5231"/>
          <c:min val="4413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131821</xdr:colOff>
      <xdr:row>2</xdr:row>
      <xdr:rowOff>21112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332422</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27285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27285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27250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693737</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182840</xdr:colOff>
      <xdr:row>1</xdr:row>
      <xdr:rowOff>7600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182840</xdr:colOff>
      <xdr:row>1</xdr:row>
      <xdr:rowOff>7600</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46213</xdr:colOff>
      <xdr:row>1</xdr:row>
      <xdr:rowOff>7565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176389</xdr:colOff>
      <xdr:row>1</xdr:row>
      <xdr:rowOff>42333</xdr:rowOff>
    </xdr:from>
    <xdr:to>
      <xdr:col>10</xdr:col>
      <xdr:colOff>518054</xdr:colOff>
      <xdr:row>28</xdr:row>
      <xdr:rowOff>76083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1</xdr:row>
      <xdr:rowOff>0</xdr:rowOff>
    </xdr:from>
    <xdr:to>
      <xdr:col>22</xdr:col>
      <xdr:colOff>316267</xdr:colOff>
      <xdr:row>28</xdr:row>
      <xdr:rowOff>40100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13"/>
  <sheetViews>
    <sheetView tabSelected="1" zoomScaleNormal="100" workbookViewId="0">
      <pane xSplit="2" ySplit="9" topLeftCell="C101" activePane="bottomRight" state="frozen"/>
      <selection pane="topRight" activeCell="C1" sqref="C1"/>
      <selection pane="bottomLeft" activeCell="A10" sqref="A10"/>
      <selection pane="bottomRight" activeCell="I107" sqref="I107"/>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62</v>
      </c>
    </row>
    <row r="8" spans="1:4" ht="15.5" x14ac:dyDescent="0.3">
      <c r="B8" s="18"/>
      <c r="C8" s="92" t="s">
        <v>38</v>
      </c>
      <c r="D8" s="93"/>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38.241185749721645</v>
      </c>
      <c r="D104" s="37">
        <f t="shared" ref="D104" si="11">C104-C103</f>
        <v>-4.3400105717372597</v>
      </c>
    </row>
    <row r="105" spans="2:4" ht="15.5" x14ac:dyDescent="0.3">
      <c r="B105" s="41">
        <v>44986</v>
      </c>
      <c r="C105" s="83">
        <f>(0.2*'AMPE-MCVE'!C104)+(0.8*'AMPE-MCVE'!D104)</f>
        <v>38.319102078260855</v>
      </c>
      <c r="D105" s="34">
        <f>C105-C104</f>
        <v>7.7916328539210156E-2</v>
      </c>
    </row>
    <row r="106" spans="2:4" ht="15.5" x14ac:dyDescent="0.3">
      <c r="B106" s="42">
        <v>45017</v>
      </c>
      <c r="C106" s="82">
        <f>(0.2*'AMPE-MCVE'!C105)+(0.8*'AMPE-MCVE'!D105)</f>
        <v>36.423811827365007</v>
      </c>
      <c r="D106" s="37">
        <f t="shared" ref="D106" si="12">C106-C105</f>
        <v>-1.8952902508958474</v>
      </c>
    </row>
    <row r="107" spans="2:4" ht="15.5" x14ac:dyDescent="0.3">
      <c r="B107" s="41">
        <v>45047</v>
      </c>
      <c r="C107" s="83">
        <f>(0.2*'AMPE-MCVE'!C106)+(0.8*'AMPE-MCVE'!D106)</f>
        <v>36.350174216894793</v>
      </c>
      <c r="D107" s="34">
        <f t="shared" ref="D107:D108" si="13">C107-C106</f>
        <v>-7.3637610470214554E-2</v>
      </c>
    </row>
    <row r="108" spans="2:4" ht="15.5" x14ac:dyDescent="0.3">
      <c r="B108" s="42">
        <v>45078</v>
      </c>
      <c r="C108" s="82">
        <f>(0.2*'AMPE-MCVE'!C107)+(0.8*'AMPE-MCVE'!D107)</f>
        <v>36.635841338215883</v>
      </c>
      <c r="D108" s="37">
        <f t="shared" si="13"/>
        <v>0.28566712132109018</v>
      </c>
    </row>
    <row r="109" spans="2:4" ht="15.5" x14ac:dyDescent="0.3">
      <c r="B109" s="41">
        <v>45108</v>
      </c>
      <c r="C109" s="83">
        <f>(0.2*'AMPE-MCVE'!C108)+(0.8*'AMPE-MCVE'!D108)</f>
        <v>34.62198650105254</v>
      </c>
      <c r="D109" s="34">
        <f t="shared" ref="D109:D110" si="14">C109-C108</f>
        <v>-2.0138548371633433</v>
      </c>
    </row>
    <row r="110" spans="2:4" ht="15.5" x14ac:dyDescent="0.3">
      <c r="B110" s="42">
        <v>45139</v>
      </c>
      <c r="C110" s="82">
        <f>(0.2*'AMPE-MCVE'!C109)+(0.8*'AMPE-MCVE'!D109)</f>
        <v>33.013554845980423</v>
      </c>
      <c r="D110" s="37">
        <f t="shared" si="14"/>
        <v>-1.6084316550721169</v>
      </c>
    </row>
    <row r="111" spans="2:4" ht="15.5" x14ac:dyDescent="0.3">
      <c r="B111" s="41">
        <v>45170</v>
      </c>
      <c r="C111" s="83">
        <f>(0.2*'AMPE-MCVE'!C110)+(0.8*'AMPE-MCVE'!D110)</f>
        <v>32.478240231278249</v>
      </c>
      <c r="D111" s="34">
        <f>C111-C110</f>
        <v>-0.53531461470217323</v>
      </c>
    </row>
    <row r="112" spans="2:4" ht="15.5" x14ac:dyDescent="0.3">
      <c r="B112" s="42">
        <v>45200</v>
      </c>
      <c r="C112" s="82">
        <f>(0.2*'AMPE-MCVE'!C111)+(0.8*'AMPE-MCVE'!D111)</f>
        <v>34.559870153678588</v>
      </c>
      <c r="D112" s="37">
        <f t="shared" ref="D112" si="15">C112-C111</f>
        <v>2.0816299224003387</v>
      </c>
    </row>
    <row r="113" spans="2:4" ht="15.5" x14ac:dyDescent="0.3">
      <c r="B113" s="41">
        <v>45231</v>
      </c>
      <c r="C113" s="83">
        <f>(0.2*'AMPE-MCVE'!C112)+(0.8*'AMPE-MCVE'!D112)</f>
        <v>36.755122078511974</v>
      </c>
      <c r="D113" s="34">
        <f>C113-C112</f>
        <v>2.1952519248333857</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20"/>
  <sheetViews>
    <sheetView showGridLines="0" zoomScaleNormal="100" zoomScaleSheetLayoutView="143" zoomScalePageLayoutView="123" workbookViewId="0">
      <pane xSplit="2" ySplit="8" topLeftCell="C100" activePane="bottomRight" state="frozen"/>
      <selection activeCell="B107" sqref="B107"/>
      <selection pane="topRight" activeCell="B107" sqref="B107"/>
      <selection pane="bottomLeft" activeCell="B107" sqref="B107"/>
      <selection pane="bottomRight" activeCell="M116" sqref="M116"/>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62</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4" t="s">
        <v>25</v>
      </c>
      <c r="G6" s="95"/>
      <c r="H6" s="95"/>
      <c r="I6" s="95"/>
      <c r="J6" s="95"/>
      <c r="K6" s="95"/>
      <c r="L6" s="16"/>
      <c r="M6" s="96" t="s">
        <v>26</v>
      </c>
      <c r="N6" s="97"/>
      <c r="O6" s="97"/>
      <c r="P6" s="97"/>
      <c r="Q6" s="97"/>
      <c r="R6" s="97"/>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98" t="s">
        <v>1</v>
      </c>
      <c r="D8" s="99"/>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9"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9"/>
      <c r="B103" s="42">
        <v>44958</v>
      </c>
      <c r="C103" s="37">
        <f t="shared" si="83"/>
        <v>33.469053916123642</v>
      </c>
      <c r="D103" s="37">
        <f t="shared" ref="D103:D104" si="85">P103+Q103+R103</f>
        <v>39.434218708121143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907.38999999999987</v>
      </c>
      <c r="O103" s="38">
        <f t="shared" si="84"/>
        <v>3620</v>
      </c>
      <c r="P103" s="37">
        <f>(M103-'Processing costs'!G103)*100/9100</f>
        <v>35.659340659340657</v>
      </c>
      <c r="Q103" s="37">
        <f>(N103-'Processing costs'!H103)*100/16700</f>
        <v>2.169999999999999</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9"/>
      <c r="B104" s="41">
        <v>44986</v>
      </c>
      <c r="C104" s="34">
        <f t="shared" si="83"/>
        <v>34.551080356493181</v>
      </c>
      <c r="D104" s="34">
        <f t="shared" si="85"/>
        <v>39.261107508702771</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885.42719999999986</v>
      </c>
      <c r="O104" s="36">
        <f t="shared" si="84"/>
        <v>3760</v>
      </c>
      <c r="P104" s="34">
        <f>(M104-'Processing costs'!G104)*100/9100</f>
        <v>35.549450549450547</v>
      </c>
      <c r="Q104" s="34">
        <f>(N104-'Processing costs'!H104)*100/16700</f>
        <v>2.0384862275449094</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9" t="s">
        <v>53</v>
      </c>
      <c r="B105" s="42">
        <v>45017</v>
      </c>
      <c r="C105" s="37">
        <f t="shared" si="83"/>
        <v>31.807534316104643</v>
      </c>
      <c r="D105" s="37">
        <f t="shared" ref="D105" si="86">P105+Q105+R105</f>
        <v>37.577881205180098</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857.37327999999991</v>
      </c>
      <c r="O105" s="38">
        <f t="shared" si="84"/>
        <v>3620</v>
      </c>
      <c r="P105" s="37">
        <f>(M105-'Processing costs'!G105)*100/9100</f>
        <v>34.175824175824175</v>
      </c>
      <c r="Q105" s="37">
        <f>(N105-'Processing costs'!H105)*100/16700</f>
        <v>1.7986423952095802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37.434385312088239</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834.22410000000002</v>
      </c>
      <c r="O106" s="36">
        <f t="shared" si="84"/>
        <v>3610</v>
      </c>
      <c r="P106" s="34">
        <f>(M106-'Processing costs'!G106)*100/9100</f>
        <v>34.175824175824175</v>
      </c>
      <c r="Q106" s="34">
        <f>(N106-'Processing costs'!H106)*100/16700</f>
        <v>1.6600245508982039</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37.630491069707276</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842.10504000000003</v>
      </c>
      <c r="O107" s="38">
        <f t="shared" si="84"/>
        <v>3690</v>
      </c>
      <c r="P107" s="37">
        <f>(M107-'Processing costs'!G107)*100/9100</f>
        <v>34.285714285714285</v>
      </c>
      <c r="Q107" s="37">
        <f>(N107-'Processing costs'!H107)*100/16700</f>
        <v>1.7072158083832338</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9" t="s">
        <v>53</v>
      </c>
      <c r="B108" s="41">
        <v>45108</v>
      </c>
      <c r="C108" s="34">
        <f t="shared" ref="C108:C109" si="88">I108+J108+K108</f>
        <v>29.664590893359183</v>
      </c>
      <c r="D108" s="34">
        <f t="shared" si="87"/>
        <v>35.861335402975875</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802.36847999999998</v>
      </c>
      <c r="O108" s="36">
        <f>F108-300</f>
        <v>3490</v>
      </c>
      <c r="P108" s="34">
        <f>(M108-'Processing costs'!G108)*100/9100</f>
        <v>33.098901098901102</v>
      </c>
      <c r="Q108" s="34">
        <f>(N108-'Processing costs'!H108)*100/16700</f>
        <v>1.2297513772455089</v>
      </c>
      <c r="R108" s="34">
        <f>(O108-'Processing costs'!I108)*100/205000</f>
        <v>1.5326829268292683</v>
      </c>
    </row>
    <row r="109" spans="1:45" x14ac:dyDescent="0.3">
      <c r="A109" s="89"/>
      <c r="B109" s="42">
        <v>45139</v>
      </c>
      <c r="C109" s="37">
        <f t="shared" si="88"/>
        <v>28.612363457108355</v>
      </c>
      <c r="D109" s="37">
        <f t="shared" si="87"/>
        <v>34.113852693198432</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776.42291999999986</v>
      </c>
      <c r="O109" s="38">
        <f>F109-300</f>
        <v>3380</v>
      </c>
      <c r="P109" s="37">
        <f>(M109-'Processing costs'!G109)*100/9100</f>
        <v>31.560439560439562</v>
      </c>
      <c r="Q109" s="37">
        <f>(N109-'Processing costs'!H109)*100/16700</f>
        <v>1.0743887425149692</v>
      </c>
      <c r="R109" s="37">
        <f>(O109-'Processing costs'!I109)*100/205000</f>
        <v>1.4790243902439024</v>
      </c>
    </row>
    <row r="110" spans="1:45" x14ac:dyDescent="0.3">
      <c r="B110" s="41">
        <v>45170</v>
      </c>
      <c r="C110" s="34">
        <f t="shared" ref="C110" si="89">I110+J110+K110</f>
        <v>28.808642024855342</v>
      </c>
      <c r="D110" s="34">
        <f t="shared" si="87"/>
        <v>33.395639782883975</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782.49899999999991</v>
      </c>
      <c r="O110" s="36">
        <f>F110-300</f>
        <v>3410</v>
      </c>
      <c r="P110" s="34">
        <f>(M110-'Processing costs'!G110)*100/9100</f>
        <v>30.791208791208792</v>
      </c>
      <c r="Q110" s="34">
        <f>(N110-'Processing costs'!H110)*100/16700</f>
        <v>1.1107724550898197</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9" t="s">
        <v>53</v>
      </c>
      <c r="B111" s="42">
        <v>45200</v>
      </c>
      <c r="C111" s="37">
        <f>I111+J111+K111</f>
        <v>34.529664838724521</v>
      </c>
      <c r="D111" s="37">
        <f t="shared" si="87"/>
        <v>34.567421482417103</v>
      </c>
      <c r="E111" s="35"/>
      <c r="F111" s="38">
        <v>4070</v>
      </c>
      <c r="G111" s="38">
        <v>2220</v>
      </c>
      <c r="H111" s="38">
        <v>537</v>
      </c>
      <c r="I111" s="37">
        <f>(F111-'Processing costs'!C111)*100/19900</f>
        <v>18.733668341708544</v>
      </c>
      <c r="J111" s="37">
        <f>((G111-103)-'Processing costs'!E111)*100/203600</f>
        <v>0.75491159135559927</v>
      </c>
      <c r="K111" s="37">
        <f>(G111-'Processing costs'!D111-H111*8.5%)*100/10600</f>
        <v>15.041084905660377</v>
      </c>
      <c r="L111" s="35"/>
      <c r="M111" s="38">
        <v>3290</v>
      </c>
      <c r="N111" s="38">
        <f>732.5*1.154</f>
        <v>845.30499999999995</v>
      </c>
      <c r="O111" s="38">
        <f>F111-300</f>
        <v>3770</v>
      </c>
      <c r="P111" s="37">
        <f>(M111-'Processing costs'!G111)*100/9100</f>
        <v>31.186813186813186</v>
      </c>
      <c r="Q111" s="37">
        <f>(N111-'Processing costs'!H111)*100/16700</f>
        <v>1.7084131736526944</v>
      </c>
      <c r="R111" s="37">
        <f>(O111-'Processing costs'!I111)*100/205000</f>
        <v>1.6721951219512194</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9"/>
      <c r="B112" s="41">
        <v>45231</v>
      </c>
      <c r="C112" s="34">
        <f t="shared" ref="C112" si="90">I112+J112+K112</f>
        <v>37.668740910040057</v>
      </c>
      <c r="D112" s="34">
        <f t="shared" ref="D112" si="91">P112+Q112+R112</f>
        <v>36.526717370629953</v>
      </c>
      <c r="E112" s="35"/>
      <c r="F112" s="36">
        <v>4580</v>
      </c>
      <c r="G112" s="36">
        <v>2280</v>
      </c>
      <c r="H112" s="36">
        <v>561</v>
      </c>
      <c r="I112" s="34">
        <f>(F112-'Processing costs'!C112)*100/19900</f>
        <v>21.2964824120603</v>
      </c>
      <c r="J112" s="34">
        <f>((G112-103)-'Processing costs'!E112)*100/203600</f>
        <v>0.78438113948919452</v>
      </c>
      <c r="K112" s="34">
        <f>(G112-'Processing costs'!D112-H112*8.5%)*100/10600</f>
        <v>15.587877358490566</v>
      </c>
      <c r="L112" s="35"/>
      <c r="M112" s="36">
        <v>3400</v>
      </c>
      <c r="N112" s="36">
        <f>810.02*1.147</f>
        <v>929.09294</v>
      </c>
      <c r="O112" s="36">
        <f>F112-300</f>
        <v>4280</v>
      </c>
      <c r="P112" s="34">
        <f>(M112-'Processing costs'!G112)*100/9100</f>
        <v>32.395604395604394</v>
      </c>
      <c r="Q112" s="34">
        <f>(N112-'Processing costs'!H112)*100/16700</f>
        <v>2.2101373652694614</v>
      </c>
      <c r="R112" s="34">
        <f>(O112-'Processing costs'!I112)*100/205000</f>
        <v>1.9209756097560975</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B113" s="16"/>
      <c r="C113" s="91"/>
      <c r="D113" s="91"/>
      <c r="E113" s="16"/>
      <c r="F113" s="24"/>
      <c r="G113" s="24"/>
      <c r="H113" s="24"/>
      <c r="I113" s="24"/>
      <c r="J113" s="24"/>
      <c r="K113" s="24"/>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16" t="s">
        <v>58</v>
      </c>
      <c r="B114" s="16"/>
      <c r="C114" s="16"/>
      <c r="D114" s="16"/>
      <c r="E114" s="16"/>
      <c r="F114" s="24"/>
      <c r="G114" s="24"/>
      <c r="H114" s="24"/>
      <c r="I114" s="24"/>
      <c r="J114" s="24"/>
      <c r="K114" s="24"/>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16"/>
      <c r="C115" s="16"/>
      <c r="D115" s="16"/>
      <c r="E115" s="16"/>
      <c r="F115" s="24"/>
      <c r="G115" s="24"/>
      <c r="H115" s="24"/>
      <c r="I115" s="24"/>
      <c r="J115" s="24"/>
      <c r="K115" s="24"/>
      <c r="L115" s="16"/>
      <c r="M115" s="16"/>
      <c r="N115" s="88"/>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16"/>
      <c r="C116" s="16"/>
      <c r="D116" s="16"/>
      <c r="E116" s="16"/>
      <c r="F116" s="24"/>
      <c r="G116" s="24"/>
      <c r="H116" s="24"/>
      <c r="I116" s="24"/>
      <c r="J116" s="24"/>
      <c r="K116" s="24"/>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
      <c r="B117" s="16"/>
      <c r="C117" s="16"/>
      <c r="D117" s="16"/>
      <c r="E117" s="16"/>
      <c r="F117" s="24">
        <f>F109/F108-1</f>
        <v>-2.9023746701846931E-2</v>
      </c>
      <c r="G117" s="24"/>
      <c r="H117" s="24"/>
      <c r="I117" s="24"/>
      <c r="J117" s="24"/>
      <c r="K117" s="24"/>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1:45" x14ac:dyDescent="0.3">
      <c r="B118" s="16"/>
      <c r="C118" s="16"/>
      <c r="D118" s="16"/>
      <c r="E118" s="16"/>
      <c r="F118" s="24"/>
      <c r="G118" s="24"/>
      <c r="H118" s="24"/>
      <c r="I118" s="24"/>
      <c r="J118" s="24"/>
      <c r="K118" s="24"/>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16"/>
      <c r="C119" s="16"/>
      <c r="D119" s="16"/>
      <c r="E119" s="16"/>
      <c r="F119" s="24"/>
      <c r="G119" s="24"/>
      <c r="H119" s="24"/>
      <c r="I119" s="24"/>
      <c r="J119" s="24"/>
      <c r="K119" s="24"/>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
      <c r="B120" s="16"/>
      <c r="C120" s="16"/>
      <c r="D120" s="16"/>
      <c r="E120" s="16"/>
      <c r="F120" s="24"/>
      <c r="G120" s="24"/>
      <c r="H120" s="24"/>
      <c r="I120" s="24"/>
      <c r="J120" s="24"/>
      <c r="K120" s="24"/>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1:45" x14ac:dyDescent="0.3">
      <c r="B121" s="16"/>
      <c r="C121" s="16"/>
      <c r="D121" s="16"/>
      <c r="E121" s="16"/>
      <c r="F121" s="24"/>
      <c r="G121" s="24"/>
      <c r="H121" s="24"/>
      <c r="I121" s="24"/>
      <c r="J121" s="24"/>
      <c r="K121" s="24"/>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1:45" x14ac:dyDescent="0.3">
      <c r="B122" s="16"/>
      <c r="C122" s="16"/>
      <c r="D122" s="16"/>
      <c r="E122" s="16"/>
      <c r="F122" s="24"/>
      <c r="G122" s="24"/>
      <c r="H122" s="24"/>
      <c r="I122" s="24"/>
      <c r="J122" s="24"/>
      <c r="K122" s="24"/>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1:45" x14ac:dyDescent="0.3">
      <c r="B123" s="16"/>
      <c r="C123" s="16"/>
      <c r="D123" s="16"/>
      <c r="E123" s="16"/>
      <c r="F123" s="24"/>
      <c r="G123" s="24"/>
      <c r="H123" s="24"/>
      <c r="I123" s="24"/>
      <c r="J123" s="24"/>
      <c r="K123" s="24"/>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
      <c r="B124" s="16"/>
      <c r="C124" s="16"/>
      <c r="D124" s="16"/>
      <c r="E124" s="16"/>
      <c r="F124" s="24"/>
      <c r="G124" s="24"/>
      <c r="H124" s="24"/>
      <c r="I124" s="24"/>
      <c r="J124" s="24"/>
      <c r="K124" s="24"/>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
      <c r="B125" s="16"/>
      <c r="C125" s="16"/>
      <c r="D125" s="16"/>
      <c r="E125" s="16"/>
      <c r="F125" s="24"/>
      <c r="G125" s="24"/>
      <c r="H125" s="24"/>
      <c r="I125" s="24"/>
      <c r="J125" s="24"/>
      <c r="K125" s="24"/>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
      <c r="B126" s="16"/>
      <c r="C126" s="16"/>
      <c r="D126" s="16"/>
      <c r="E126" s="16"/>
      <c r="F126" s="24"/>
      <c r="G126" s="24"/>
      <c r="H126" s="24"/>
      <c r="I126" s="24"/>
      <c r="J126" s="24"/>
      <c r="K126" s="24"/>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16"/>
      <c r="C127" s="16"/>
      <c r="D127" s="16"/>
      <c r="E127" s="16"/>
      <c r="F127" s="24"/>
      <c r="G127" s="24"/>
      <c r="H127" s="24"/>
      <c r="I127" s="24"/>
      <c r="J127" s="24"/>
      <c r="K127" s="24"/>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16"/>
      <c r="C128" s="16"/>
      <c r="D128" s="16"/>
      <c r="E128" s="16"/>
      <c r="F128" s="24"/>
      <c r="G128" s="24"/>
      <c r="H128" s="24"/>
      <c r="I128" s="24"/>
      <c r="J128" s="24"/>
      <c r="K128" s="24"/>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2:45" x14ac:dyDescent="0.3">
      <c r="B129" s="16"/>
      <c r="C129" s="16"/>
      <c r="D129" s="16"/>
      <c r="E129" s="16"/>
      <c r="F129" s="24"/>
      <c r="G129" s="24"/>
      <c r="H129" s="24"/>
      <c r="I129" s="24"/>
      <c r="J129" s="24"/>
      <c r="K129" s="24"/>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2:45" x14ac:dyDescent="0.3">
      <c r="B130" s="16"/>
      <c r="C130" s="16"/>
      <c r="D130" s="16"/>
      <c r="E130" s="16"/>
      <c r="F130" s="24"/>
      <c r="G130" s="24"/>
      <c r="H130" s="24"/>
      <c r="I130" s="24"/>
      <c r="J130" s="24"/>
      <c r="K130" s="24"/>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2:45" x14ac:dyDescent="0.3">
      <c r="B131" s="16"/>
      <c r="C131" s="16"/>
      <c r="D131" s="16"/>
      <c r="E131" s="16"/>
      <c r="F131" s="24"/>
      <c r="G131" s="24"/>
      <c r="H131" s="24"/>
      <c r="I131" s="24"/>
      <c r="J131" s="24"/>
      <c r="K131" s="24"/>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2:45" x14ac:dyDescent="0.3">
      <c r="B132" s="16"/>
      <c r="C132" s="16"/>
      <c r="D132" s="16"/>
      <c r="E132" s="16"/>
      <c r="F132" s="24"/>
      <c r="G132" s="24"/>
      <c r="H132" s="24"/>
      <c r="I132" s="24"/>
      <c r="J132" s="24"/>
      <c r="K132" s="24"/>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2:45" x14ac:dyDescent="0.3">
      <c r="B133" s="16"/>
      <c r="C133" s="16"/>
      <c r="D133" s="16"/>
      <c r="E133" s="16"/>
      <c r="F133" s="24"/>
      <c r="G133" s="24"/>
      <c r="H133" s="24"/>
      <c r="I133" s="24"/>
      <c r="J133" s="24"/>
      <c r="K133" s="24"/>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row>
    <row r="134" spans="2:45" x14ac:dyDescent="0.3">
      <c r="B134" s="16"/>
      <c r="C134" s="16"/>
      <c r="D134" s="16"/>
      <c r="E134" s="16"/>
      <c r="F134" s="24"/>
      <c r="G134" s="24"/>
      <c r="H134" s="24"/>
      <c r="I134" s="24"/>
      <c r="J134" s="24"/>
      <c r="K134" s="24"/>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2:45" x14ac:dyDescent="0.3">
      <c r="B135" s="16"/>
      <c r="C135" s="16"/>
      <c r="D135" s="16"/>
      <c r="E135" s="16"/>
      <c r="F135" s="24"/>
      <c r="G135" s="24"/>
      <c r="H135" s="24"/>
      <c r="I135" s="24"/>
      <c r="J135" s="24"/>
      <c r="K135" s="24"/>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2:45" x14ac:dyDescent="0.3">
      <c r="B136" s="16"/>
      <c r="C136" s="16"/>
      <c r="D136" s="16"/>
      <c r="E136" s="16"/>
      <c r="F136" s="24"/>
      <c r="G136" s="24"/>
      <c r="H136" s="24"/>
      <c r="I136" s="24"/>
      <c r="J136" s="24"/>
      <c r="K136" s="24"/>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2:45" x14ac:dyDescent="0.3">
      <c r="B137" s="16"/>
      <c r="C137" s="16"/>
      <c r="D137" s="16"/>
      <c r="E137" s="16"/>
      <c r="F137" s="24"/>
      <c r="G137" s="24"/>
      <c r="H137" s="24"/>
      <c r="I137" s="24"/>
      <c r="J137" s="24"/>
      <c r="K137" s="24"/>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2:45" x14ac:dyDescent="0.3">
      <c r="B138" s="16"/>
      <c r="C138" s="16"/>
      <c r="D138" s="16"/>
      <c r="E138" s="16"/>
      <c r="F138" s="24"/>
      <c r="G138" s="24"/>
      <c r="H138" s="24"/>
      <c r="I138" s="24"/>
      <c r="J138" s="24"/>
      <c r="K138" s="24"/>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2:45" x14ac:dyDescent="0.3">
      <c r="B139" s="16"/>
      <c r="C139" s="16"/>
      <c r="D139" s="16"/>
      <c r="E139" s="16"/>
      <c r="F139" s="24"/>
      <c r="G139" s="24"/>
      <c r="H139" s="24"/>
      <c r="I139" s="24"/>
      <c r="J139" s="24"/>
      <c r="K139" s="24"/>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2:45" x14ac:dyDescent="0.3">
      <c r="B140" s="16"/>
      <c r="C140" s="16"/>
      <c r="D140" s="16"/>
      <c r="E140" s="16"/>
      <c r="F140" s="24"/>
      <c r="G140" s="24"/>
      <c r="H140" s="24"/>
      <c r="I140" s="24"/>
      <c r="J140" s="24"/>
      <c r="K140" s="24"/>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2:45" x14ac:dyDescent="0.3">
      <c r="B141" s="16"/>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2:45" x14ac:dyDescent="0.3">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2: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2:45" x14ac:dyDescent="0.3">
      <c r="B144" s="16"/>
      <c r="C144" s="16"/>
      <c r="D144" s="16"/>
      <c r="E144" s="16"/>
      <c r="F144" s="24"/>
      <c r="G144" s="24"/>
      <c r="H144" s="24"/>
      <c r="I144" s="24"/>
      <c r="J144" s="24"/>
      <c r="K144" s="24" t="e">
        <f>#REF!-#REF!</f>
        <v>#REF!</v>
      </c>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6:45" x14ac:dyDescent="0.3">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6:45" x14ac:dyDescent="0.3">
      <c r="F210" s="25"/>
      <c r="G210" s="25"/>
      <c r="H210" s="25"/>
      <c r="I210" s="25"/>
      <c r="J210" s="25"/>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6:45" x14ac:dyDescent="0.3">
      <c r="F211" s="25"/>
      <c r="G211" s="25"/>
      <c r="H211" s="25"/>
      <c r="I211" s="25"/>
      <c r="J211" s="25"/>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6:45" x14ac:dyDescent="0.3">
      <c r="F212" s="25"/>
      <c r="G212" s="25"/>
      <c r="H212" s="25"/>
      <c r="I212" s="25"/>
      <c r="J212" s="25"/>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6:45" x14ac:dyDescent="0.3">
      <c r="F213" s="25"/>
      <c r="G213" s="25"/>
      <c r="H213" s="25"/>
      <c r="I213" s="25"/>
      <c r="J213" s="25"/>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6:45" x14ac:dyDescent="0.3">
      <c r="F214" s="25"/>
      <c r="G214" s="25"/>
      <c r="H214" s="25"/>
      <c r="I214" s="25"/>
      <c r="J214" s="25"/>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6:45" x14ac:dyDescent="0.3">
      <c r="F215" s="25"/>
      <c r="G215" s="25"/>
      <c r="H215" s="25"/>
      <c r="I215" s="25"/>
      <c r="J215" s="25"/>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6:45" x14ac:dyDescent="0.3">
      <c r="F216" s="25"/>
      <c r="G216" s="25"/>
      <c r="H216" s="25"/>
      <c r="I216" s="25"/>
      <c r="J216" s="25"/>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6:45" x14ac:dyDescent="0.3">
      <c r="F217" s="25"/>
      <c r="G217" s="25"/>
      <c r="H217" s="25"/>
      <c r="I217" s="25"/>
      <c r="J217" s="25"/>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6:45" x14ac:dyDescent="0.3">
      <c r="F218" s="25"/>
      <c r="G218" s="25"/>
      <c r="H218" s="25"/>
      <c r="I218" s="25"/>
      <c r="J218" s="25"/>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6:45" x14ac:dyDescent="0.3">
      <c r="F219" s="25"/>
      <c r="G219" s="25"/>
      <c r="H219" s="25"/>
      <c r="I219" s="25"/>
      <c r="J219" s="25"/>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6:45" x14ac:dyDescent="0.3">
      <c r="F220" s="25"/>
      <c r="G220" s="25"/>
      <c r="H220" s="25"/>
      <c r="I220" s="25"/>
      <c r="J220" s="25"/>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6:45" x14ac:dyDescent="0.3">
      <c r="F221" s="25"/>
      <c r="G221" s="25"/>
      <c r="H221" s="25"/>
      <c r="I221" s="25"/>
      <c r="J221" s="25"/>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6:45" x14ac:dyDescent="0.3">
      <c r="F222" s="25"/>
      <c r="G222" s="25"/>
      <c r="H222" s="25"/>
      <c r="I222" s="25"/>
      <c r="J222" s="25"/>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6:45" x14ac:dyDescent="0.3">
      <c r="F223" s="25"/>
      <c r="G223" s="25"/>
      <c r="H223" s="25"/>
      <c r="I223" s="25"/>
      <c r="J223" s="25"/>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6:45" x14ac:dyDescent="0.3">
      <c r="F224" s="25"/>
      <c r="G224" s="25"/>
      <c r="H224" s="25"/>
      <c r="I224" s="25"/>
      <c r="J224" s="25"/>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6:45" x14ac:dyDescent="0.3">
      <c r="F225" s="25"/>
      <c r="G225" s="25"/>
      <c r="H225" s="25"/>
      <c r="I225" s="25"/>
      <c r="J225" s="25"/>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6:45" x14ac:dyDescent="0.3">
      <c r="F226" s="25"/>
      <c r="G226" s="25"/>
      <c r="H226" s="25"/>
      <c r="I226" s="25"/>
      <c r="J226" s="25"/>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6:45" x14ac:dyDescent="0.3">
      <c r="F227" s="25"/>
      <c r="G227" s="25"/>
      <c r="H227" s="25"/>
      <c r="I227" s="25"/>
      <c r="J227" s="25"/>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6:45" x14ac:dyDescent="0.3">
      <c r="F228" s="25"/>
      <c r="G228" s="25"/>
      <c r="H228" s="25"/>
      <c r="I228" s="25"/>
      <c r="J228" s="25"/>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6:45" x14ac:dyDescent="0.3">
      <c r="F229" s="25"/>
      <c r="G229" s="25"/>
      <c r="H229" s="25"/>
      <c r="I229" s="25"/>
      <c r="J229" s="25"/>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6:45" x14ac:dyDescent="0.3">
      <c r="F230" s="25"/>
      <c r="G230" s="25"/>
      <c r="H230" s="25"/>
      <c r="I230" s="25"/>
      <c r="J230" s="25"/>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6:45" x14ac:dyDescent="0.3">
      <c r="F231" s="25"/>
      <c r="G231" s="25"/>
      <c r="H231" s="25"/>
      <c r="I231" s="25"/>
      <c r="J231" s="25"/>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6:45" x14ac:dyDescent="0.3">
      <c r="F232" s="25"/>
      <c r="G232" s="25"/>
      <c r="H232" s="25"/>
      <c r="I232" s="25"/>
      <c r="J232" s="25"/>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6: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6: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6: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6: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6: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6: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6: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6: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5"/>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5"/>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5"/>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5"/>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5"/>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5"/>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5"/>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5"/>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5"/>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5"/>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5"/>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5"/>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5"/>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5"/>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5"/>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5"/>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5"/>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5"/>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5"/>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5"/>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5"/>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5"/>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5"/>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23"/>
  <sheetViews>
    <sheetView showGridLines="0" zoomScaleNormal="90" zoomScaleSheetLayoutView="143" zoomScalePageLayoutView="123" workbookViewId="0">
      <pane xSplit="2" ySplit="8" topLeftCell="C100" activePane="bottomRight" state="frozen"/>
      <selection activeCell="B107" sqref="B107"/>
      <selection pane="topRight" activeCell="B107" sqref="B107"/>
      <selection pane="bottomLeft" activeCell="B107" sqref="B107"/>
      <selection pane="bottomRight" activeCell="A5" sqref="A5"/>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61</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4" t="s">
        <v>51</v>
      </c>
      <c r="D6" s="95"/>
      <c r="E6" s="95"/>
      <c r="F6" s="16"/>
      <c r="G6" s="96" t="s">
        <v>52</v>
      </c>
      <c r="H6" s="97"/>
      <c r="I6" s="97"/>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342</v>
      </c>
      <c r="D111" s="38">
        <v>580</v>
      </c>
      <c r="E111" s="38">
        <v>580</v>
      </c>
      <c r="F111" s="35"/>
      <c r="G111" s="38">
        <v>452</v>
      </c>
      <c r="H111" s="38">
        <v>560</v>
      </c>
      <c r="I111" s="38">
        <v>342</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342</v>
      </c>
      <c r="D112" s="36">
        <v>580</v>
      </c>
      <c r="E112" s="36">
        <v>580</v>
      </c>
      <c r="F112" s="35"/>
      <c r="G112" s="36">
        <v>452</v>
      </c>
      <c r="H112" s="36">
        <v>560</v>
      </c>
      <c r="I112" s="36">
        <v>342</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1:36" x14ac:dyDescent="0.3">
      <c r="B113" s="16"/>
      <c r="C113" s="24"/>
      <c r="D113" s="24"/>
      <c r="E113" s="24"/>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1:36" x14ac:dyDescent="0.3">
      <c r="A114" s="16" t="s">
        <v>54</v>
      </c>
      <c r="B114" s="16"/>
      <c r="C114" s="24"/>
      <c r="D114" s="24"/>
      <c r="E114" s="24"/>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1:36" x14ac:dyDescent="0.3">
      <c r="A115" s="16" t="s">
        <v>55</v>
      </c>
      <c r="B115" s="16"/>
      <c r="C115" s="24"/>
      <c r="D115" s="24"/>
      <c r="E115" s="24"/>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1:36" x14ac:dyDescent="0.3">
      <c r="B116" s="16"/>
      <c r="C116" s="24"/>
      <c r="D116" s="24"/>
      <c r="E116" s="24"/>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1:36" x14ac:dyDescent="0.3">
      <c r="B117" s="16"/>
      <c r="C117" s="24"/>
      <c r="D117" s="24"/>
      <c r="E117" s="24"/>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row>
    <row r="118" spans="1:36" x14ac:dyDescent="0.3">
      <c r="B118" s="16"/>
      <c r="C118" s="24"/>
      <c r="D118" s="24"/>
      <c r="E118" s="24"/>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row>
    <row r="119" spans="1:36" x14ac:dyDescent="0.3">
      <c r="B119" s="16"/>
      <c r="C119" s="24"/>
      <c r="D119" s="24"/>
      <c r="E119" s="24"/>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row>
    <row r="120" spans="1:36" x14ac:dyDescent="0.3">
      <c r="B120" s="16"/>
      <c r="C120" s="24"/>
      <c r="D120" s="24"/>
      <c r="E120" s="24"/>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row>
    <row r="121" spans="1:36" x14ac:dyDescent="0.3">
      <c r="B121" s="16"/>
      <c r="C121" s="24"/>
      <c r="D121" s="24"/>
      <c r="E121" s="24"/>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row>
    <row r="122" spans="1:36" x14ac:dyDescent="0.3">
      <c r="B122" s="16"/>
      <c r="C122" s="24"/>
      <c r="D122" s="24"/>
      <c r="E122" s="24"/>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row>
    <row r="123" spans="1:36" x14ac:dyDescent="0.3">
      <c r="B123" s="16"/>
      <c r="C123" s="24"/>
      <c r="D123" s="24"/>
      <c r="E123" s="24"/>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row>
    <row r="124" spans="1:36" x14ac:dyDescent="0.3">
      <c r="B124" s="16"/>
      <c r="C124" s="24"/>
      <c r="D124" s="24"/>
      <c r="E124" s="24"/>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row>
    <row r="125" spans="1:36" x14ac:dyDescent="0.3">
      <c r="B125" s="16"/>
      <c r="C125" s="24"/>
      <c r="D125" s="24"/>
      <c r="E125" s="24"/>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row>
    <row r="126" spans="1:36" x14ac:dyDescent="0.3">
      <c r="B126" s="16"/>
      <c r="C126" s="24"/>
      <c r="D126" s="24"/>
      <c r="E126" s="24"/>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row>
    <row r="127" spans="1:36" x14ac:dyDescent="0.3">
      <c r="B127" s="16"/>
      <c r="C127" s="24"/>
      <c r="D127" s="24"/>
      <c r="E127" s="24"/>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row>
    <row r="128" spans="1:36" x14ac:dyDescent="0.3">
      <c r="B128" s="16"/>
      <c r="C128" s="24"/>
      <c r="D128" s="24"/>
      <c r="E128" s="24"/>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row>
    <row r="129" spans="2:36" x14ac:dyDescent="0.3">
      <c r="B129" s="16"/>
      <c r="C129" s="24"/>
      <c r="D129" s="24"/>
      <c r="E129" s="24"/>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row>
    <row r="130" spans="2:36" x14ac:dyDescent="0.3">
      <c r="B130" s="16"/>
      <c r="C130" s="24"/>
      <c r="D130" s="24"/>
      <c r="E130" s="24"/>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row>
    <row r="131" spans="2:36" x14ac:dyDescent="0.3">
      <c r="B131" s="16"/>
      <c r="C131" s="24"/>
      <c r="D131" s="24"/>
      <c r="E131" s="24"/>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row>
    <row r="132" spans="2:36" x14ac:dyDescent="0.3">
      <c r="B132" s="16"/>
      <c r="C132" s="24"/>
      <c r="D132" s="24"/>
      <c r="E132" s="24"/>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row>
    <row r="133" spans="2:36" x14ac:dyDescent="0.3">
      <c r="B133" s="16"/>
      <c r="C133" s="24"/>
      <c r="D133" s="24"/>
      <c r="E133" s="24"/>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row>
    <row r="134" spans="2:36" x14ac:dyDescent="0.3">
      <c r="B134" s="16"/>
      <c r="C134" s="24"/>
      <c r="D134" s="24"/>
      <c r="E134" s="24"/>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row>
    <row r="135" spans="2:36" x14ac:dyDescent="0.3">
      <c r="B135" s="16"/>
      <c r="C135" s="24"/>
      <c r="D135" s="24"/>
      <c r="E135" s="24"/>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row>
    <row r="136" spans="2:36" x14ac:dyDescent="0.3">
      <c r="B136" s="16"/>
      <c r="C136" s="24"/>
      <c r="D136" s="24"/>
      <c r="E136" s="24"/>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row>
    <row r="137" spans="2:36" x14ac:dyDescent="0.3">
      <c r="B137" s="16"/>
      <c r="C137" s="24"/>
      <c r="D137" s="24"/>
      <c r="E137" s="24"/>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row>
    <row r="138" spans="2:36" x14ac:dyDescent="0.3">
      <c r="B138" s="16"/>
      <c r="C138" s="24"/>
      <c r="D138" s="24"/>
      <c r="E138" s="24"/>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row>
    <row r="139" spans="2:36" x14ac:dyDescent="0.3">
      <c r="B139" s="16"/>
      <c r="C139" s="24"/>
      <c r="D139" s="24"/>
      <c r="E139" s="24"/>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row>
    <row r="140" spans="2:36" x14ac:dyDescent="0.3">
      <c r="B140" s="16"/>
      <c r="C140" s="24"/>
      <c r="D140" s="24"/>
      <c r="E140" s="24"/>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row>
    <row r="141" spans="2:36" x14ac:dyDescent="0.3">
      <c r="B141" s="16"/>
      <c r="C141" s="24"/>
      <c r="D141" s="24"/>
      <c r="E141" s="24"/>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row>
    <row r="142" spans="2:36" x14ac:dyDescent="0.3">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2: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2: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C213" s="25"/>
      <c r="D213" s="25"/>
      <c r="E213" s="25"/>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C214" s="25"/>
      <c r="D214" s="25"/>
      <c r="E214" s="25"/>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C215" s="25"/>
      <c r="D215" s="25"/>
      <c r="E215" s="25"/>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C216" s="25"/>
      <c r="D216" s="25"/>
      <c r="E216" s="25"/>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C217" s="25"/>
      <c r="D217" s="25"/>
      <c r="E217" s="25"/>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C218" s="25"/>
      <c r="D218" s="25"/>
      <c r="E218" s="25"/>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C219" s="25"/>
      <c r="D219" s="25"/>
      <c r="E219" s="25"/>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C220" s="25"/>
      <c r="D220" s="25"/>
      <c r="E220" s="25"/>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C221" s="25"/>
      <c r="D221" s="25"/>
      <c r="E221" s="25"/>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C222" s="25"/>
      <c r="D222" s="25"/>
      <c r="E222" s="25"/>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C223" s="25"/>
      <c r="D223" s="25"/>
      <c r="E223" s="25"/>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C224" s="25"/>
      <c r="D224" s="25"/>
      <c r="E224" s="25"/>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3:36" x14ac:dyDescent="0.3">
      <c r="C225" s="25"/>
      <c r="D225" s="25"/>
      <c r="E225" s="25"/>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3:36" x14ac:dyDescent="0.3">
      <c r="C226" s="25"/>
      <c r="D226" s="25"/>
      <c r="E226" s="25"/>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3:36" x14ac:dyDescent="0.3">
      <c r="C227" s="25"/>
      <c r="D227" s="25"/>
      <c r="E227" s="25"/>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3:36" x14ac:dyDescent="0.3">
      <c r="C228" s="25"/>
      <c r="D228" s="25"/>
      <c r="E228" s="25"/>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3:36" x14ac:dyDescent="0.3">
      <c r="C229" s="25"/>
      <c r="D229" s="25"/>
      <c r="E229" s="25"/>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3:36" x14ac:dyDescent="0.3">
      <c r="C230" s="25"/>
      <c r="D230" s="25"/>
      <c r="E230" s="25"/>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3:36" x14ac:dyDescent="0.3">
      <c r="C231" s="25"/>
      <c r="D231" s="25"/>
      <c r="E231" s="25"/>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3:36" x14ac:dyDescent="0.3">
      <c r="C232" s="25"/>
      <c r="D232" s="25"/>
      <c r="E232" s="25"/>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3:36" x14ac:dyDescent="0.3">
      <c r="C233" s="25"/>
      <c r="D233" s="25"/>
      <c r="E233" s="25"/>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3:36" x14ac:dyDescent="0.3">
      <c r="C234" s="25"/>
      <c r="D234" s="25"/>
      <c r="E234" s="25"/>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3:36" x14ac:dyDescent="0.3">
      <c r="C235" s="25"/>
      <c r="D235" s="25"/>
      <c r="E235" s="25"/>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3:36" x14ac:dyDescent="0.3">
      <c r="C236" s="25"/>
      <c r="D236" s="25"/>
      <c r="E236" s="25"/>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3: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3: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3: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3: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10:36" x14ac:dyDescent="0.3">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10:36" x14ac:dyDescent="0.3">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10:36" x14ac:dyDescent="0.3">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20"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4" t="s">
        <v>25</v>
      </c>
      <c r="G6" s="95"/>
      <c r="H6" s="95"/>
      <c r="I6" s="95"/>
      <c r="J6" s="95"/>
      <c r="K6" s="16"/>
      <c r="L6" s="96" t="s">
        <v>26</v>
      </c>
      <c r="M6" s="97"/>
      <c r="N6" s="97"/>
      <c r="O6" s="97"/>
      <c r="P6" s="97"/>
      <c r="Q6" s="97"/>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98" t="s">
        <v>1</v>
      </c>
      <c r="D8" s="99"/>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zoomScale="140" zoomScaleNormal="140" workbookViewId="0">
      <selection activeCell="H34" sqref="H34"/>
    </sheetView>
  </sheetViews>
  <sheetFormatPr defaultRowHeight="12.5" x14ac:dyDescent="0.25"/>
  <cols>
    <col min="1" max="1" width="8.69921875" style="2" customWidth="1"/>
    <col min="2" max="2" width="10" style="2" customWidth="1"/>
    <col min="3"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1"/>
      <c r="C2" s="105" t="s">
        <v>47</v>
      </c>
      <c r="D2" s="105"/>
      <c r="E2" s="105"/>
      <c r="F2" s="44"/>
      <c r="G2" s="45" t="s">
        <v>10</v>
      </c>
    </row>
    <row r="3" spans="1:17" ht="15" customHeight="1" x14ac:dyDescent="0.25">
      <c r="B3" s="102"/>
      <c r="C3" s="46" t="s">
        <v>2</v>
      </c>
      <c r="D3" s="46" t="s">
        <v>5</v>
      </c>
      <c r="E3" s="80" t="s">
        <v>3</v>
      </c>
      <c r="F3" s="19" t="s">
        <v>45</v>
      </c>
      <c r="G3" s="47">
        <f>B4</f>
        <v>45231</v>
      </c>
    </row>
    <row r="4" spans="1:17" ht="15.5" x14ac:dyDescent="0.25">
      <c r="B4" s="48">
        <v>45231</v>
      </c>
      <c r="C4" s="49">
        <f>VLOOKUP($B4,'AMPE-MCVE'!$B:$K,8,FALSE)</f>
        <v>21.2964824120603</v>
      </c>
      <c r="D4" s="49">
        <f>VLOOKUP($B4,'AMPE-MCVE'!$B:$K,9,FALSE)</f>
        <v>0.78438113948919452</v>
      </c>
      <c r="E4" s="49">
        <f>VLOOKUP($B4,'AMPE-MCVE'!$B:$K,10,FALSE)</f>
        <v>15.587877358490566</v>
      </c>
      <c r="F4" s="50">
        <f>VLOOKUP($B4,'AMPE-MCVE'!$B:$D,2,FALSE)</f>
        <v>37.668740910040057</v>
      </c>
      <c r="G4" s="49"/>
      <c r="P4" s="78"/>
      <c r="Q4" s="78"/>
    </row>
    <row r="5" spans="1:17" ht="15.5" x14ac:dyDescent="0.25">
      <c r="B5" s="51">
        <f>EDATE(B4,-1)</f>
        <v>45200</v>
      </c>
      <c r="C5" s="52">
        <f>VLOOKUP($B5,'AMPE-MCVE'!$B:$K,8,FALSE)</f>
        <v>18.733668341708544</v>
      </c>
      <c r="D5" s="52">
        <f>VLOOKUP($B5,'AMPE-MCVE'!$B:$K,9,FALSE)</f>
        <v>0.75491159135559927</v>
      </c>
      <c r="E5" s="52">
        <f>VLOOKUP($B5,'AMPE-MCVE'!$B:$K,10,FALSE)</f>
        <v>15.041084905660377</v>
      </c>
      <c r="F5" s="53">
        <f>VLOOKUP($B5,'AMPE-MCVE'!$B:$D,2,FALSE)</f>
        <v>34.529664838724521</v>
      </c>
      <c r="G5" s="70">
        <f>($F$4-F5)/F5</f>
        <v>9.0909543604811002E-2</v>
      </c>
      <c r="P5" s="78"/>
      <c r="Q5" s="78"/>
    </row>
    <row r="6" spans="1:17" ht="15.5" x14ac:dyDescent="0.25">
      <c r="B6" s="54">
        <f>EDATE(B4,-12)</f>
        <v>44866</v>
      </c>
      <c r="C6" s="49">
        <f>VLOOKUP($B6,'AMPE-MCVE'!$B:$K,8,FALSE)</f>
        <v>24.944723618090453</v>
      </c>
      <c r="D6" s="49">
        <f>VLOOKUP($B6,'AMPE-MCVE'!$B:$K,9,FALSE)</f>
        <v>0.97003929273084477</v>
      </c>
      <c r="E6" s="49">
        <f>VLOOKUP($B6,'AMPE-MCVE'!$B:$K,10,FALSE)</f>
        <v>18.77482929503638</v>
      </c>
      <c r="F6" s="50">
        <f>VLOOKUP($B6,'AMPE-MCVE'!$B:$D,2,FALSE)</f>
        <v>44.689592205857679</v>
      </c>
      <c r="G6" s="55">
        <f>($F$4-F6)/F6</f>
        <v>-0.15710260374444332</v>
      </c>
      <c r="P6" s="78"/>
      <c r="Q6" s="78"/>
    </row>
    <row r="7" spans="1:17" ht="15.5" x14ac:dyDescent="0.25">
      <c r="B7" s="56"/>
      <c r="C7" s="57"/>
      <c r="D7" s="57"/>
      <c r="E7" s="57"/>
      <c r="F7" s="58"/>
      <c r="G7" s="59"/>
      <c r="P7" s="78"/>
      <c r="Q7" s="78"/>
    </row>
    <row r="8" spans="1:17" ht="15.5" x14ac:dyDescent="0.35">
      <c r="B8" s="101"/>
      <c r="C8" s="100" t="s">
        <v>48</v>
      </c>
      <c r="D8" s="100"/>
      <c r="E8" s="100"/>
      <c r="F8" s="60"/>
      <c r="G8" s="45" t="s">
        <v>10</v>
      </c>
      <c r="P8" s="78"/>
      <c r="Q8" s="78"/>
    </row>
    <row r="9" spans="1:17" ht="15.5" x14ac:dyDescent="0.25">
      <c r="B9" s="102"/>
      <c r="C9" s="46" t="s">
        <v>7</v>
      </c>
      <c r="D9" s="46" t="s">
        <v>9</v>
      </c>
      <c r="E9" s="46" t="s">
        <v>8</v>
      </c>
      <c r="F9" s="19" t="s">
        <v>46</v>
      </c>
      <c r="G9" s="47">
        <f>B10</f>
        <v>45231</v>
      </c>
      <c r="P9" s="78"/>
      <c r="Q9" s="78"/>
    </row>
    <row r="10" spans="1:17" ht="15.5" x14ac:dyDescent="0.25">
      <c r="B10" s="48">
        <f>B4</f>
        <v>45231</v>
      </c>
      <c r="C10" s="49">
        <f>VLOOKUP($B10,'AMPE-MCVE'!$B:$R,15,FALSE)</f>
        <v>32.395604395604394</v>
      </c>
      <c r="D10" s="49">
        <f>VLOOKUP($B10,'AMPE-MCVE'!$B:$R,16,FALSE)</f>
        <v>2.2101373652694614</v>
      </c>
      <c r="E10" s="49">
        <f>VLOOKUP($B10,'AMPE-MCVE'!$B:$R,17,FALSE)</f>
        <v>1.9209756097560975</v>
      </c>
      <c r="F10" s="50">
        <f>VLOOKUP($B10,'AMPE-MCVE'!$B:$D,3,FALSE)</f>
        <v>36.526717370629953</v>
      </c>
      <c r="G10" s="49"/>
    </row>
    <row r="11" spans="1:17" ht="15.5" x14ac:dyDescent="0.25">
      <c r="B11" s="51">
        <f>B5</f>
        <v>45200</v>
      </c>
      <c r="C11" s="52">
        <f>VLOOKUP($B11,'AMPE-MCVE'!$B:$R,15,FALSE)</f>
        <v>31.186813186813186</v>
      </c>
      <c r="D11" s="52">
        <f>VLOOKUP($B11,'AMPE-MCVE'!$B:$R,16,FALSE)</f>
        <v>1.7084131736526944</v>
      </c>
      <c r="E11" s="52">
        <f>VLOOKUP($B11,'AMPE-MCVE'!$B:$R,17,FALSE)</f>
        <v>1.6721951219512194</v>
      </c>
      <c r="F11" s="53">
        <f>VLOOKUP($B11,'AMPE-MCVE'!$B:$D,3,FALSE)</f>
        <v>34.567421482417103</v>
      </c>
      <c r="G11" s="70">
        <f>($F$10-F11)/F11</f>
        <v>5.6680417693563169E-2</v>
      </c>
    </row>
    <row r="12" spans="1:17" ht="15.5" x14ac:dyDescent="0.25">
      <c r="B12" s="54">
        <f>B6</f>
        <v>44866</v>
      </c>
      <c r="C12" s="49">
        <f>VLOOKUP($B12,'AMPE-MCVE'!$B:$R,15,FALSE)</f>
        <v>47.714285714285715</v>
      </c>
      <c r="D12" s="49">
        <f>VLOOKUP($B12,'AMPE-MCVE'!$B:$R,16,FALSE)</f>
        <v>2.3046137191067668</v>
      </c>
      <c r="E12" s="49">
        <f>VLOOKUP($B12,'AMPE-MCVE'!$B:$R,17,FALSE)</f>
        <v>2.275121951219512</v>
      </c>
      <c r="F12" s="50">
        <f>VLOOKUP($B12,'AMPE-MCVE'!$B:$D,3,FALSE)</f>
        <v>52.294021384611995</v>
      </c>
      <c r="G12" s="55">
        <f>($F$10-F12)/F12</f>
        <v>-0.30151255528842763</v>
      </c>
    </row>
    <row r="13" spans="1:17" ht="15.5" x14ac:dyDescent="0.35">
      <c r="B13" s="61" t="s">
        <v>11</v>
      </c>
      <c r="C13" s="57"/>
      <c r="D13" s="62"/>
      <c r="E13" s="62"/>
      <c r="F13" s="62"/>
      <c r="G13" s="62"/>
    </row>
    <row r="16" spans="1:17" ht="13" hidden="1" x14ac:dyDescent="0.3">
      <c r="A16" s="73">
        <v>2014</v>
      </c>
      <c r="B16" s="86" t="s">
        <v>57</v>
      </c>
    </row>
    <row r="17" spans="2:7" ht="15.5" hidden="1" x14ac:dyDescent="0.35">
      <c r="B17" s="101"/>
      <c r="C17" s="100" t="s">
        <v>31</v>
      </c>
      <c r="D17" s="100"/>
      <c r="E17" s="100"/>
      <c r="F17" s="44"/>
      <c r="G17" s="45" t="s">
        <v>10</v>
      </c>
    </row>
    <row r="18" spans="2:7" ht="15.5" hidden="1" x14ac:dyDescent="0.25">
      <c r="B18" s="102"/>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1"/>
      <c r="C23" s="100" t="s">
        <v>32</v>
      </c>
      <c r="D23" s="100"/>
      <c r="E23" s="100"/>
      <c r="F23" s="60"/>
      <c r="G23" s="45" t="s">
        <v>10</v>
      </c>
    </row>
    <row r="24" spans="2:7" ht="12.75" hidden="1" customHeight="1" x14ac:dyDescent="0.25">
      <c r="B24" s="102"/>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3" t="s">
        <v>43</v>
      </c>
      <c r="D31" s="100"/>
      <c r="E31" s="104"/>
    </row>
    <row r="32" spans="2:7" ht="15.5" x14ac:dyDescent="0.25">
      <c r="C32" s="46"/>
      <c r="D32" s="46" t="s">
        <v>1</v>
      </c>
      <c r="E32" s="46" t="s">
        <v>44</v>
      </c>
    </row>
    <row r="33" spans="1:6" ht="15.5" x14ac:dyDescent="0.25">
      <c r="C33" s="48">
        <f t="shared" ref="C33:C36" si="0">EDATE(C34,-1)</f>
        <v>45078</v>
      </c>
      <c r="D33" s="79">
        <f>VLOOKUP($C33,MMV!$B:$D,2,FALSE)</f>
        <v>36.635841338215883</v>
      </c>
      <c r="E33" s="79">
        <f>VLOOKUP($C33,MMV!$B:$D,3,FALSE)</f>
        <v>0.28566712132109018</v>
      </c>
    </row>
    <row r="34" spans="1:6" ht="15.5" x14ac:dyDescent="0.25">
      <c r="A34" s="3"/>
      <c r="C34" s="51">
        <f t="shared" si="0"/>
        <v>45108</v>
      </c>
      <c r="D34" s="52">
        <f>VLOOKUP($C34,MMV!$B:$D,2,FALSE)</f>
        <v>34.62198650105254</v>
      </c>
      <c r="E34" s="52">
        <f>VLOOKUP($C34,MMV!$B:$D,3,FALSE)</f>
        <v>-2.0138548371633433</v>
      </c>
    </row>
    <row r="35" spans="1:6" ht="15.5" x14ac:dyDescent="0.25">
      <c r="C35" s="48">
        <f t="shared" si="0"/>
        <v>45139</v>
      </c>
      <c r="D35" s="49">
        <f>VLOOKUP($C35,MMV!$B:$D,2,FALSE)</f>
        <v>33.013554845980423</v>
      </c>
      <c r="E35" s="49">
        <f>VLOOKUP($C35,MMV!$B:$D,3,FALSE)</f>
        <v>-1.6084316550721169</v>
      </c>
    </row>
    <row r="36" spans="1:6" ht="15.5" x14ac:dyDescent="0.25">
      <c r="C36" s="51">
        <f t="shared" si="0"/>
        <v>45170</v>
      </c>
      <c r="D36" s="52">
        <f>VLOOKUP($C36,MMV!$B:$D,2,FALSE)</f>
        <v>32.478240231278249</v>
      </c>
      <c r="E36" s="52">
        <f>VLOOKUP($C36,MMV!$B:$D,3,FALSE)</f>
        <v>-0.53531461470217323</v>
      </c>
    </row>
    <row r="37" spans="1:6" ht="15.5" x14ac:dyDescent="0.25">
      <c r="C37" s="48">
        <f>EDATE(C38,-1)</f>
        <v>45200</v>
      </c>
      <c r="D37" s="49">
        <f>VLOOKUP($C37,MMV!$B:$D,2,FALSE)</f>
        <v>34.559870153678588</v>
      </c>
      <c r="E37" s="49">
        <f>VLOOKUP($C37,MMV!$B:$D,3,FALSE)</f>
        <v>2.0816299224003387</v>
      </c>
    </row>
    <row r="38" spans="1:6" ht="15.5" x14ac:dyDescent="0.25">
      <c r="C38" s="51">
        <f>B4</f>
        <v>45231</v>
      </c>
      <c r="D38" s="52">
        <f>VLOOKUP($C38,MMV!$B:$D,2,FALSE)</f>
        <v>36.755122078511974</v>
      </c>
      <c r="E38" s="52">
        <f>VLOOKUP($C38,MMV!$B:$D,3,FALSE)</f>
        <v>2.1952519248333857</v>
      </c>
      <c r="F38" s="90"/>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90" zoomScaleNormal="90" workbookViewId="0">
      <selection activeCell="Y33" sqref="Y33"/>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showGridLines="0" workbookViewId="0">
      <selection activeCell="A21" sqref="A21:K21"/>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06" t="s">
        <v>39</v>
      </c>
      <c r="B4" s="106"/>
      <c r="C4" s="106"/>
      <c r="D4" s="106"/>
      <c r="E4" s="106"/>
      <c r="F4" s="106"/>
      <c r="G4" s="106"/>
      <c r="H4" s="106"/>
      <c r="I4" s="106"/>
      <c r="J4" s="106"/>
      <c r="K4" s="106"/>
    </row>
    <row r="5" spans="1:11" s="27" customFormat="1" ht="34.5" customHeight="1" x14ac:dyDescent="0.3">
      <c r="A5" s="106"/>
      <c r="B5" s="106"/>
      <c r="C5" s="106"/>
      <c r="D5" s="106"/>
      <c r="E5" s="106"/>
      <c r="F5" s="106"/>
      <c r="G5" s="106"/>
      <c r="H5" s="106"/>
      <c r="I5" s="106"/>
      <c r="J5" s="106"/>
      <c r="K5" s="106"/>
    </row>
    <row r="6" spans="1:11" s="29" customFormat="1" ht="21" customHeight="1" x14ac:dyDescent="0.35">
      <c r="A6" s="29" t="s">
        <v>34</v>
      </c>
    </row>
    <row r="7" spans="1:11" s="27" customFormat="1" ht="15" customHeight="1" x14ac:dyDescent="0.3"/>
    <row r="8" spans="1:11" s="27" customFormat="1" ht="51" customHeight="1" x14ac:dyDescent="0.3">
      <c r="A8" s="107" t="s">
        <v>20</v>
      </c>
      <c r="B8" s="107"/>
      <c r="C8" s="107"/>
      <c r="D8" s="107"/>
      <c r="E8" s="107"/>
      <c r="F8" s="107"/>
      <c r="G8" s="107"/>
      <c r="H8" s="107"/>
      <c r="I8" s="107"/>
      <c r="J8" s="107"/>
      <c r="K8" s="107"/>
    </row>
    <row r="9" spans="1:11" s="27" customFormat="1" ht="9.75" customHeight="1" x14ac:dyDescent="0.3"/>
    <row r="10" spans="1:11" s="27" customFormat="1" x14ac:dyDescent="0.3">
      <c r="A10" s="81" t="s">
        <v>33</v>
      </c>
    </row>
    <row r="11" spans="1:11" s="27" customFormat="1" ht="15" customHeight="1" thickBot="1" x14ac:dyDescent="0.35"/>
    <row r="12" spans="1:11" x14ac:dyDescent="0.35">
      <c r="A12" s="109" t="s">
        <v>12</v>
      </c>
      <c r="B12" s="109"/>
      <c r="C12" s="109"/>
      <c r="D12" s="109"/>
      <c r="E12" s="109"/>
      <c r="F12" s="109"/>
      <c r="G12" s="109"/>
      <c r="H12" s="109"/>
      <c r="I12" s="109"/>
      <c r="J12" s="109"/>
      <c r="K12" s="109"/>
    </row>
    <row r="13" spans="1:11" ht="15" customHeight="1" x14ac:dyDescent="0.35">
      <c r="A13" s="64"/>
      <c r="B13" s="64"/>
      <c r="C13" s="64"/>
      <c r="D13" s="64"/>
      <c r="E13" s="64"/>
      <c r="F13" s="64"/>
      <c r="G13" s="64"/>
      <c r="H13" s="64"/>
      <c r="I13" s="64"/>
      <c r="J13" s="64"/>
      <c r="K13" s="64"/>
    </row>
    <row r="14" spans="1:11" s="30" customFormat="1" ht="15" customHeight="1" x14ac:dyDescent="0.35">
      <c r="A14" s="31"/>
      <c r="B14" s="31"/>
      <c r="C14" s="31"/>
      <c r="D14" s="31"/>
      <c r="E14" s="31"/>
      <c r="F14" s="31"/>
      <c r="G14" s="31"/>
      <c r="H14" s="31"/>
      <c r="I14" s="31"/>
      <c r="J14" s="31"/>
      <c r="K14" s="31"/>
    </row>
    <row r="15" spans="1:11" s="30" customFormat="1" ht="13.15" customHeight="1" x14ac:dyDescent="0.3">
      <c r="A15" s="110" t="s">
        <v>13</v>
      </c>
      <c r="B15" s="110"/>
      <c r="C15" s="110"/>
      <c r="D15" s="110"/>
      <c r="E15" s="110"/>
      <c r="F15" s="110"/>
      <c r="G15" s="110"/>
      <c r="H15" s="110"/>
      <c r="I15" s="110"/>
      <c r="J15" s="110"/>
      <c r="K15" s="110"/>
    </row>
    <row r="16" spans="1:11" s="30" customFormat="1" ht="13.15" customHeight="1" x14ac:dyDescent="0.3">
      <c r="A16" s="110"/>
      <c r="B16" s="110"/>
      <c r="C16" s="110"/>
      <c r="D16" s="110"/>
      <c r="E16" s="110"/>
      <c r="F16" s="110"/>
      <c r="G16" s="110"/>
      <c r="H16" s="110"/>
      <c r="I16" s="110"/>
      <c r="J16" s="110"/>
      <c r="K16" s="110"/>
    </row>
    <row r="17" spans="1:11" s="30" customFormat="1" ht="13.15" customHeight="1" x14ac:dyDescent="0.3">
      <c r="A17" s="110"/>
      <c r="B17" s="110"/>
      <c r="C17" s="110"/>
      <c r="D17" s="110"/>
      <c r="E17" s="110"/>
      <c r="F17" s="110"/>
      <c r="G17" s="110"/>
      <c r="H17" s="110"/>
      <c r="I17" s="110"/>
      <c r="J17" s="110"/>
      <c r="K17" s="110"/>
    </row>
    <row r="18" spans="1:11" s="30" customFormat="1" ht="13.15" customHeight="1" x14ac:dyDescent="0.3">
      <c r="A18" s="110"/>
      <c r="B18" s="110"/>
      <c r="C18" s="110"/>
      <c r="D18" s="110"/>
      <c r="E18" s="110"/>
      <c r="F18" s="110"/>
      <c r="G18" s="110"/>
      <c r="H18" s="110"/>
      <c r="I18" s="110"/>
      <c r="J18" s="110"/>
      <c r="K18" s="110"/>
    </row>
    <row r="19" spans="1:11" s="30" customFormat="1" x14ac:dyDescent="0.3">
      <c r="A19" s="110"/>
      <c r="B19" s="110"/>
      <c r="C19" s="110"/>
      <c r="D19" s="110"/>
      <c r="E19" s="110"/>
      <c r="F19" s="110"/>
      <c r="G19" s="110"/>
      <c r="H19" s="110"/>
      <c r="I19" s="110"/>
      <c r="J19" s="110"/>
      <c r="K19" s="110"/>
    </row>
    <row r="20" spans="1:11" s="30" customFormat="1" ht="15" customHeight="1" x14ac:dyDescent="0.3">
      <c r="A20" s="40"/>
      <c r="B20" s="40"/>
      <c r="C20" s="40"/>
      <c r="D20" s="40"/>
      <c r="E20" s="40"/>
      <c r="F20" s="40"/>
      <c r="G20" s="40"/>
      <c r="H20" s="40"/>
      <c r="I20" s="40"/>
      <c r="J20" s="40"/>
      <c r="K20" s="40"/>
    </row>
    <row r="21" spans="1:11" s="30" customFormat="1" ht="15" customHeight="1" x14ac:dyDescent="0.3">
      <c r="A21" s="110"/>
      <c r="B21" s="110"/>
      <c r="C21" s="110"/>
      <c r="D21" s="110"/>
      <c r="E21" s="110"/>
      <c r="F21" s="110"/>
      <c r="G21" s="110"/>
      <c r="H21" s="110"/>
      <c r="I21" s="110"/>
      <c r="J21" s="110"/>
      <c r="K21" s="110"/>
    </row>
    <row r="22" spans="1:11" s="30" customFormat="1" ht="15" customHeight="1" x14ac:dyDescent="0.3">
      <c r="A22" s="110" t="s">
        <v>59</v>
      </c>
      <c r="B22" s="110"/>
      <c r="C22" s="110"/>
      <c r="D22" s="110"/>
      <c r="E22" s="110"/>
      <c r="F22" s="110"/>
      <c r="G22" s="110"/>
      <c r="H22" s="110"/>
      <c r="I22" s="110"/>
      <c r="J22" s="110"/>
      <c r="K22" s="110"/>
    </row>
    <row r="23" spans="1:11" ht="15" customHeight="1" thickBot="1" x14ac:dyDescent="0.35">
      <c r="A23" s="65"/>
      <c r="B23" s="65"/>
      <c r="C23" s="65"/>
      <c r="D23" s="65"/>
      <c r="E23" s="65"/>
      <c r="F23" s="65"/>
      <c r="G23" s="65"/>
      <c r="H23" s="65"/>
      <c r="I23" s="65"/>
      <c r="J23" s="65"/>
      <c r="K23" s="65"/>
    </row>
    <row r="24" spans="1:11" x14ac:dyDescent="0.35">
      <c r="A24" s="109" t="s">
        <v>14</v>
      </c>
      <c r="B24" s="109"/>
      <c r="C24" s="109"/>
      <c r="D24" s="109"/>
      <c r="E24" s="109"/>
      <c r="F24" s="109"/>
      <c r="G24" s="109"/>
      <c r="H24" s="109"/>
      <c r="I24" s="109"/>
      <c r="J24" s="109"/>
      <c r="K24" s="109"/>
    </row>
    <row r="25" spans="1:11" ht="15" customHeight="1" x14ac:dyDescent="0.35">
      <c r="A25" s="64"/>
      <c r="B25" s="64"/>
      <c r="C25" s="64"/>
      <c r="D25" s="64"/>
      <c r="E25" s="64"/>
      <c r="F25" s="64"/>
      <c r="G25" s="64"/>
      <c r="H25" s="64"/>
      <c r="I25" s="64"/>
      <c r="J25" s="64"/>
      <c r="K25" s="64"/>
    </row>
    <row r="26" spans="1:11" x14ac:dyDescent="0.3">
      <c r="A26" s="111" t="s">
        <v>23</v>
      </c>
      <c r="B26" s="112" t="s">
        <v>60</v>
      </c>
      <c r="C26" s="113"/>
      <c r="D26" s="113"/>
      <c r="E26" s="113"/>
      <c r="F26" s="113"/>
      <c r="G26" s="113"/>
      <c r="H26" s="113"/>
      <c r="I26" s="113"/>
      <c r="J26" s="113"/>
      <c r="K26" s="113"/>
    </row>
    <row r="27" spans="1:11" x14ac:dyDescent="0.3">
      <c r="A27" s="111"/>
      <c r="B27" s="113"/>
      <c r="C27" s="113"/>
      <c r="D27" s="113"/>
      <c r="E27" s="113"/>
      <c r="F27" s="113"/>
      <c r="G27" s="113"/>
      <c r="H27" s="113"/>
      <c r="I27" s="113"/>
      <c r="J27" s="113"/>
      <c r="K27" s="113"/>
    </row>
    <row r="28" spans="1:11" x14ac:dyDescent="0.3">
      <c r="A28" s="65"/>
      <c r="B28" s="113"/>
      <c r="C28" s="113"/>
      <c r="D28" s="113"/>
      <c r="E28" s="113"/>
      <c r="F28" s="113"/>
      <c r="G28" s="113"/>
      <c r="H28" s="113"/>
      <c r="I28" s="113"/>
      <c r="J28" s="113"/>
      <c r="K28" s="113"/>
    </row>
    <row r="29" spans="1:11" x14ac:dyDescent="0.3">
      <c r="B29" s="113"/>
      <c r="C29" s="113"/>
      <c r="D29" s="113"/>
      <c r="E29" s="113"/>
      <c r="F29" s="113"/>
      <c r="G29" s="113"/>
      <c r="H29" s="113"/>
      <c r="I29" s="113"/>
      <c r="J29" s="113"/>
      <c r="K29" s="113"/>
    </row>
    <row r="30" spans="1:11" x14ac:dyDescent="0.3">
      <c r="B30" s="113"/>
      <c r="C30" s="113"/>
      <c r="D30" s="113"/>
      <c r="E30" s="113"/>
      <c r="F30" s="113"/>
      <c r="G30" s="113"/>
      <c r="H30" s="113"/>
      <c r="I30" s="113"/>
      <c r="J30" s="113"/>
      <c r="K30" s="113"/>
    </row>
    <row r="31" spans="1:11" x14ac:dyDescent="0.3">
      <c r="A31" s="66" t="s">
        <v>15</v>
      </c>
      <c r="B31" s="63" t="s">
        <v>16</v>
      </c>
    </row>
    <row r="32" spans="1:11" x14ac:dyDescent="0.3">
      <c r="A32" s="67" t="s">
        <v>17</v>
      </c>
      <c r="B32" s="68" t="s">
        <v>24</v>
      </c>
      <c r="C32" s="68"/>
      <c r="D32" s="68"/>
      <c r="E32" s="68"/>
      <c r="F32" s="68"/>
      <c r="G32" s="68"/>
      <c r="H32" s="68"/>
      <c r="I32" s="68"/>
      <c r="J32" s="68"/>
      <c r="K32" s="68"/>
    </row>
    <row r="33" spans="1:11" x14ac:dyDescent="0.3">
      <c r="A33" s="67" t="s">
        <v>18</v>
      </c>
      <c r="B33" s="114" t="s">
        <v>19</v>
      </c>
      <c r="C33" s="114"/>
      <c r="D33" s="114"/>
      <c r="E33" s="114"/>
      <c r="F33" s="114"/>
      <c r="G33" s="114"/>
      <c r="H33" s="114"/>
      <c r="I33" s="114"/>
      <c r="J33" s="114"/>
      <c r="K33" s="114"/>
    </row>
    <row r="34" spans="1:11" ht="15" customHeight="1" thickBot="1" x14ac:dyDescent="0.35">
      <c r="A34" s="69"/>
      <c r="B34" s="108"/>
      <c r="C34" s="108"/>
      <c r="D34" s="108"/>
      <c r="E34" s="108"/>
      <c r="F34" s="108"/>
      <c r="G34" s="108"/>
      <c r="H34" s="108"/>
      <c r="I34" s="108"/>
      <c r="J34" s="108"/>
      <c r="K34" s="108"/>
    </row>
    <row r="42" spans="1:11" x14ac:dyDescent="0.3">
      <c r="A42" s="32"/>
      <c r="B42" s="32"/>
      <c r="C42" s="32"/>
      <c r="D42" s="32"/>
      <c r="E42" s="32"/>
      <c r="F42" s="32"/>
      <c r="G42" s="32"/>
      <c r="H42" s="32"/>
      <c r="I42" s="32"/>
      <c r="J42" s="32"/>
      <c r="K42" s="32"/>
    </row>
  </sheetData>
  <mergeCells count="11">
    <mergeCell ref="A4:K5"/>
    <mergeCell ref="A8:K8"/>
    <mergeCell ref="B34:K34"/>
    <mergeCell ref="A12:K12"/>
    <mergeCell ref="A15:K19"/>
    <mergeCell ref="A21:K21"/>
    <mergeCell ref="A22:K22"/>
    <mergeCell ref="A24:K24"/>
    <mergeCell ref="A26:A27"/>
    <mergeCell ref="B26:K30"/>
    <mergeCell ref="B33:K33"/>
  </mergeCells>
  <hyperlinks>
    <hyperlink ref="B32" r:id="rId1" xr:uid="{00000000-0004-0000-0700-000000000000}"/>
    <hyperlink ref="B33:C33"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Freya Shuttleworth</cp:lastModifiedBy>
  <dcterms:created xsi:type="dcterms:W3CDTF">2019-09-17T09:10:32Z</dcterms:created>
  <dcterms:modified xsi:type="dcterms:W3CDTF">2023-11-24T09:24:44Z</dcterms:modified>
</cp:coreProperties>
</file>